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Abstract" sheetId="2" state="visible" r:id="rId2"/>
    <sheet name="Rent schedule" sheetId="3" state="visible" r:id="rId3"/>
    <sheet name="Options" sheetId="4" state="visible" r:id="rId4"/>
    <sheet name="Critical dates" sheetId="5" state="visible" r:id="rId5"/>
  </sheets>
  <definedNames>
    <definedName name="_xlnm.Print_Titles" localSheetId="1">'Abstract'!$8:$8</definedName>
    <definedName name="_xlnm.Print_Area" localSheetId="1">'Abstract'!$A$1:$D$121</definedName>
    <definedName name="_xlnm.Print_Titles" localSheetId="2">'Rent schedule'!$5:$5</definedName>
    <definedName name="_xlnm.Print_Area" localSheetId="2">'Rent schedule'!$A$1:$N$37</definedName>
    <definedName name="_xlnm.Print_Titles" localSheetId="3">'Options'!$5:$5</definedName>
    <definedName name="_xlnm.Print_Area" localSheetId="3">'Options'!$A$1:$O$8</definedName>
    <definedName name="_xlnm.Print_Titles" localSheetId="4">'Critical dates'!$5:$5</definedName>
    <definedName name="_xlnm.Print_Area" localSheetId="4">'Critical dates'!$A$1:$H$66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0.000%"/>
    <numFmt numFmtId="166" formatCode="$#,##0.00"/>
    <numFmt numFmtId="167" formatCode="0&quot; days&quot;"/>
    <numFmt numFmtId="168" formatCode="$#,##0"/>
    <numFmt numFmtId="169" formatCode="0&quot; months&quot;"/>
    <numFmt numFmtId="170" formatCode="0.000"/>
  </numFmts>
  <fonts count="11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B6779"/>
      <sz val="9"/>
    </font>
    <font>
      <name val="Arial"/>
      <sz val="10"/>
    </font>
    <font>
      <name val="Arial"/>
      <b val="1"/>
      <sz val="10"/>
    </font>
    <font>
      <name val="Arial"/>
      <i val="1"/>
      <color rgb="005B6779"/>
      <sz val="9"/>
      <u val="single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F3C88"/>
      </patternFill>
    </fill>
    <fill>
      <patternFill patternType="solid">
        <fgColor rgb="00E0E7FF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9D1E0"/>
      </left>
      <right style="thin">
        <color rgb="00C9D1E0"/>
      </right>
      <top style="thin">
        <color rgb="00C9D1E0"/>
      </top>
      <bottom style="thin">
        <color rgb="00C9D1E0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4" fillId="0" borderId="0" pivotButton="0" quotePrefix="0" xfId="0"/>
    <xf numFmtId="14" fontId="6" fillId="2" borderId="1" pivotButton="0" quotePrefix="0" xfId="0"/>
    <xf numFmtId="0" fontId="10" fillId="5" borderId="0" pivotButton="0" quotePrefix="0" xfId="0"/>
    <xf numFmtId="0" fontId="7" fillId="3" borderId="1" applyAlignment="1" pivotButton="0" quotePrefix="0" xfId="0">
      <alignment vertical="center" wrapText="1"/>
    </xf>
    <xf numFmtId="0" fontId="7" fillId="3" borderId="1" pivotButton="0" quotePrefix="0" xfId="0"/>
    <xf numFmtId="0" fontId="4" fillId="4" borderId="1" pivotButton="0" quotePrefix="0" xfId="0"/>
    <xf numFmtId="0" fontId="3" fillId="0" borderId="1" applyAlignment="1" pivotButton="0" quotePrefix="0" xfId="0">
      <alignment vertical="top" wrapText="1"/>
    </xf>
    <xf numFmtId="14" fontId="6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2" fillId="0" borderId="1" pivotButton="0" quotePrefix="0" xfId="0"/>
    <xf numFmtId="1" fontId="8" fillId="0" borderId="1" pivotButton="0" quotePrefix="0" xfId="0"/>
    <xf numFmtId="0" fontId="3" fillId="0" borderId="1" pivotButton="0" quotePrefix="0" xfId="0"/>
    <xf numFmtId="3" fontId="6" fillId="2" borderId="1" applyAlignment="1" pivotButton="0" quotePrefix="0" xfId="0">
      <alignment vertical="top" wrapText="1"/>
    </xf>
    <xf numFmtId="165" fontId="6" fillId="2" borderId="1" applyAlignment="1" pivotButton="0" quotePrefix="0" xfId="0">
      <alignment vertical="top" wrapText="1"/>
    </xf>
    <xf numFmtId="165" fontId="8" fillId="0" borderId="1" pivotButton="0" quotePrefix="0" xfId="0"/>
    <xf numFmtId="169" fontId="8" fillId="0" borderId="1" pivotButton="0" quotePrefix="0" xfId="0"/>
    <xf numFmtId="9" fontId="6" fillId="2" borderId="1" applyAlignment="1" pivotButton="0" quotePrefix="0" xfId="0">
      <alignment vertical="top" wrapText="1"/>
    </xf>
    <xf numFmtId="166" fontId="8" fillId="0" borderId="1" pivotButton="0" quotePrefix="0" xfId="0"/>
    <xf numFmtId="166" fontId="6" fillId="2" borderId="1" applyAlignment="1" pivotButton="0" quotePrefix="0" xfId="0">
      <alignment vertical="top" wrapText="1"/>
    </xf>
    <xf numFmtId="166" fontId="9" fillId="0" borderId="1" pivotButton="0" quotePrefix="0" xfId="0"/>
    <xf numFmtId="14" fontId="9" fillId="0" borderId="1" pivotButton="0" quotePrefix="0" xfId="0"/>
    <xf numFmtId="167" fontId="6" fillId="2" borderId="1" applyAlignment="1" pivotButton="0" quotePrefix="0" xfId="0">
      <alignment vertical="top" wrapText="1"/>
    </xf>
    <xf numFmtId="168" fontId="6" fillId="2" borderId="1" applyAlignment="1" pivotButton="0" quotePrefix="0" xfId="0">
      <alignment vertical="top" wrapText="1"/>
    </xf>
    <xf numFmtId="0" fontId="4" fillId="4" borderId="0" pivotButton="0" quotePrefix="0" xfId="0"/>
    <xf numFmtId="167" fontId="6" fillId="2" borderId="1" pivotButton="0" quotePrefix="0" xfId="0"/>
    <xf numFmtId="0" fontId="4" fillId="0" borderId="1" applyAlignment="1" pivotButton="0" quotePrefix="0" xfId="0">
      <alignment horizontal="center"/>
    </xf>
    <xf numFmtId="1" fontId="4" fillId="0" borderId="1" applyAlignment="1" pivotButton="0" quotePrefix="0" xfId="0">
      <alignment horizontal="center"/>
    </xf>
    <xf numFmtId="0" fontId="2" fillId="0" borderId="0" pivotButton="0" quotePrefix="0" xfId="0"/>
    <xf numFmtId="14" fontId="8" fillId="0" borderId="1" pivotButton="0" quotePrefix="0" xfId="0"/>
    <xf numFmtId="0" fontId="8" fillId="4" borderId="1" pivotButton="0" quotePrefix="0" xfId="0"/>
    <xf numFmtId="166" fontId="6" fillId="2" borderId="1" pivotButton="0" quotePrefix="0" xfId="0"/>
    <xf numFmtId="0" fontId="3" fillId="0" borderId="0" pivotButton="0" quotePrefix="0" xfId="0"/>
    <xf numFmtId="166" fontId="4" fillId="0" borderId="1" pivotButton="0" quotePrefix="0" xfId="0"/>
    <xf numFmtId="0" fontId="6" fillId="2" borderId="1" pivotButton="0" quotePrefix="0" xfId="0"/>
    <xf numFmtId="1" fontId="6" fillId="2" borderId="1" pivotButton="0" quotePrefix="0" xfId="0"/>
    <xf numFmtId="0" fontId="8" fillId="0" borderId="1" pivotButton="0" quotePrefix="0" xfId="0"/>
    <xf numFmtId="14" fontId="4" fillId="0" borderId="1" pivotButton="0" quotePrefix="0" xfId="0"/>
    <xf numFmtId="0" fontId="4" fillId="0" borderId="1" pivotButton="0" quotePrefix="0" xfId="0"/>
    <xf numFmtId="170" fontId="8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E4E6"/>
          <bgColor rgb="00FFE4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hargerecoveries.com/lease-abstract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Commercial lease abstract worksheet</t>
        </is>
      </c>
    </row>
    <row r="3">
      <c r="B3" s="2" t="inlineStr">
        <is>
          <t>A free workbook from ChargeRecoveries (chargerecoveries.com). Version 2026-10. The Word version of the same abstract is on the same page: chargerecoveries.com/lease-abstract-template.</t>
        </is>
      </c>
    </row>
    <row r="4">
      <c r="B4" s="3" t="inlineStr"/>
    </row>
    <row r="5">
      <c r="B5" s="4" t="inlineStr">
        <is>
          <t>What it does</t>
        </is>
      </c>
    </row>
    <row r="6">
      <c r="B6" s="3" t="inlineStr">
        <is>
          <t>Holds one lease's abstract: every field with the lease section it came from, in the same order and with the same labels as the Word template.</t>
        </is>
      </c>
    </row>
    <row r="7">
      <c r="B7" s="3" t="inlineStr">
        <is>
          <t>Works out what a document cannot: the rent schedule from the rate and the escalation clause, the pro-rata share (area ÷ denominator), each option's notice deadline counted back in days or in months, the holdover rent, and a critical dates calendar with the date to raise each one and its status on the date you choose.</t>
        </is>
      </c>
    </row>
    <row r="8">
      <c r="B8" s="3" t="inlineStr">
        <is>
          <t>Then it runs ten checks. Cell B5 on the Abstract sheet says whether they all pass; B6 counts the flags, which are worth a look but do not fail the check.</t>
        </is>
      </c>
    </row>
    <row r="9">
      <c r="B9" s="3" t="inlineStr"/>
    </row>
    <row r="10">
      <c r="B10" s="4" t="inlineStr">
        <is>
          <t>How to use it</t>
        </is>
      </c>
    </row>
    <row r="11">
      <c r="B11" s="3" t="inlineStr">
        <is>
          <t>1. Abstract sheet: the as-of date in B4 (type a date, or =TODAY()), then each field, with the lease section it came from in column C. Write "Not addressed" where the lease is silent.</t>
        </is>
      </c>
    </row>
    <row r="12">
      <c r="B12" s="3" t="inlineStr">
        <is>
          <t>2. Options sheet: one row per option, with its notice period in days or in months and the date it counts back from (blank: the expiration date).</t>
        </is>
      </c>
    </row>
    <row r="13">
      <c r="B13" s="3" t="inlineStr">
        <is>
          <t>3. Rent schedule sheet: for fixed steps or an index, type each later lease year's monthly rent in column D.</t>
        </is>
      </c>
    </row>
    <row r="14">
      <c r="B14" s="3" t="inlineStr">
        <is>
          <t>4. Read B5 on the Abstract sheet, then the Critical dates sheet. Delete the sample (the blue-on-yellow entries) before you enter your own lease.</t>
        </is>
      </c>
    </row>
    <row r="15">
      <c r="B15" s="3" t="inlineStr"/>
    </row>
    <row r="16">
      <c r="B16" s="4" t="inlineStr">
        <is>
          <t>Colors</t>
        </is>
      </c>
    </row>
    <row r="17">
      <c r="B17" s="3" t="inlineStr">
        <is>
          <t>Blue text on a yellow cell: something for you to enter. Black text: a formula; leave it. Green text: a value pulled from another sheet.</t>
        </is>
      </c>
    </row>
    <row r="18">
      <c r="B18" s="3" t="inlineStr"/>
    </row>
    <row r="19">
      <c r="B19" s="4" t="inlineStr">
        <is>
          <t>The rules it follows</t>
        </is>
      </c>
    </row>
    <row r="20">
      <c r="B20" s="3" t="inlineStr">
        <is>
          <t>Lease years run from each anniversary of rent commencement (blank: the commencement date) and stop at the expiration date, twenty lease years at most.</t>
        </is>
      </c>
    </row>
    <row r="21">
      <c r="B21" s="3" t="inlineStr">
        <is>
          <t>Each percentage increase is applied to the previous lease year's rounded monthly rent and rounded once to the cent; a simple percentage is applied to the first year's rent. Rent per square foot per year = monthly rent × 12 ÷ area, rounded once.</t>
        </is>
      </c>
    </row>
    <row r="22">
      <c r="B22" s="3" t="inlineStr">
        <is>
          <t>Days are counted by date subtraction: 270 days before Dec 31, 2028 is Apr 5, 2028 (2028 is a leap year). Months are counted to the same day of the month, or to the month's last day when it has none: nine months before Dec 31, 2028 is Mar 31, 2028.</t>
        </is>
      </c>
    </row>
    <row r="23">
      <c r="B23" s="3" t="inlineStr">
        <is>
          <t>Whether a weekend or holiday moves a deadline, and how notice must be delivered, is the lease's notice clause.</t>
        </is>
      </c>
    </row>
    <row r="24">
      <c r="B24" s="3" t="inlineStr">
        <is>
          <t>The term must be whole months for the totals: a lease year that ends mid-month is flagged and its period rent left blank; prorate it as the lease says.</t>
        </is>
      </c>
    </row>
    <row r="25">
      <c r="B25" s="3" t="inlineStr">
        <is>
          <t>A lease commencing on Feb 29 has its anniversaries on Feb 28, and on Feb 29 in leap years: the lease year that ends on Feb 28 of a leap year runs one day past twelve months, so the schedule flags it and leaves its period rent to you.</t>
        </is>
      </c>
    </row>
    <row r="26">
      <c r="B26" s="3" t="inlineStr">
        <is>
          <t>Free or reduced rent is noted on the Abstract, not deducted: abated rent stays the rent in force.</t>
        </is>
      </c>
    </row>
    <row r="27">
      <c r="B27" s="3" t="inlineStr">
        <is>
          <t>Dates and amounts must be typed as numbers, not text: a value the sheet reads as text fails a check rather than being read wrongly.</t>
        </is>
      </c>
    </row>
    <row r="28">
      <c r="B28" s="3" t="inlineStr"/>
    </row>
    <row r="29">
      <c r="B29" s="4" t="inlineStr">
        <is>
          <t>The sample</t>
        </is>
      </c>
    </row>
    <row r="30">
      <c r="B30" s="3" t="inlineStr">
        <is>
          <t>Linden Street Bakery LLC, Suites 101 and 102 at Larkspur Retail Center: a worked case on a fictional lease, not a real tenant's. 2,400 sq ft at $30.00 per sq ft per year from Mar 1, 2025, +3% each lease year on the previous year's rent, expiring Dec 31, 2028: $6,000.00, $6,180.00, $6,365.40 and $6,556.36 a month, $288,108.40 over the term. The renewal notice, at least 270 days before expiration, is due by Apr 5, 2028. As of Nov 1, 2026.</t>
        </is>
      </c>
    </row>
    <row r="31">
      <c r="B31" s="3" t="inlineStr">
        <is>
          <t>The core terms are the ones worked out at chargerecoveries.com/blog/what-is-commercial-lease-administration. The share's denominator, the cap and the other clauses are the template's own.</t>
        </is>
      </c>
    </row>
    <row r="32">
      <c r="B32" s="3" t="inlineStr"/>
    </row>
    <row r="33">
      <c r="B33" s="4" t="inlineStr">
        <is>
          <t>What it does not do</t>
        </is>
      </c>
    </row>
    <row r="34">
      <c r="B34" s="3" t="inlineStr">
        <is>
          <t>Read the lease for you: every entry is typed from the documents.</t>
        </is>
      </c>
    </row>
    <row r="35">
      <c r="B35" s="3" t="inlineStr">
        <is>
          <t>Decide what an ambiguous clause means: it has a line for what to ask counsel.</t>
        </is>
      </c>
    </row>
    <row r="36">
      <c r="B36" s="3" t="inlineStr">
        <is>
          <t>Compute index (CPI) increases: each year's rent is typed once the index is published (percentages and fixed steps are worked out).</t>
        </is>
      </c>
    </row>
    <row r="37">
      <c r="B37" s="3" t="inlineStr">
        <is>
          <t>Remind anyone: this workbook lists each date and when to raise it, but a file sends no alerts.</t>
        </is>
      </c>
    </row>
    <row r="38">
      <c r="B38" s="3" t="inlineStr">
        <is>
          <t>Keep the lease's history: an amendment means rewriting the abstract.</t>
        </is>
      </c>
    </row>
    <row r="39">
      <c r="B39" s="3" t="inlineStr">
        <is>
          <t>Check a tenant's certificate against the requirement, or prorate a partial month.</t>
        </is>
      </c>
    </row>
    <row r="40">
      <c r="B40" s="3" t="inlineStr">
        <is>
          <t>ChargeRecoveries keeps each lease as a record, not a document: its rent clause (steps, percentages, CPI with floors and caps), options with their notice dates, deposits and insurance, and works the rent out on any date. Demo, no sign-up: chargerecoveries.com/demo.</t>
        </is>
      </c>
    </row>
    <row r="41">
      <c r="B41" s="3" t="inlineStr"/>
    </row>
    <row r="42">
      <c r="B42" s="5" t="inlineStr">
        <is>
          <t>This abstract summarizes the lease and is not legal advice. Where the abstract and the lease differ, the lease and its amendments govern.</t>
        </is>
      </c>
    </row>
  </sheetData>
  <hyperlinks>
    <hyperlink xmlns:r="http://schemas.openxmlformats.org/officeDocument/2006/relationships" ref="B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1"/>
  <sheetViews>
    <sheetView showGridLines="1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34" customWidth="1" min="2" max="2"/>
    <col width="16" customWidth="1" min="3" max="3"/>
    <col width="58" customWidth="1" min="4" max="4"/>
    <col width="9" customWidth="1" min="5" max="5"/>
    <col width="10" customWidth="1" min="6" max="6"/>
    <col width="3" customWidth="1" min="7" max="7"/>
    <col width="26" customWidth="1" min="8" max="8"/>
  </cols>
  <sheetData>
    <row r="1">
      <c r="A1" s="6" t="inlineStr">
        <is>
          <t>Commercial lease abstract</t>
        </is>
      </c>
    </row>
    <row r="2">
      <c r="A2" s="7" t="inlineStr">
        <is>
          <t>Sample loaded: Linden Street Bakery LLC, a worked case on a fictional lease. Delete the blue-on-yellow entries before you use it.</t>
        </is>
      </c>
    </row>
    <row r="4">
      <c r="A4" s="8" t="inlineStr">
        <is>
          <t>As of</t>
        </is>
      </c>
      <c r="B4" s="9" t="n">
        <v>46327</v>
      </c>
      <c r="D4" s="7" t="inlineStr">
        <is>
          <t>Type a date, or =TODAY(). It drives the rent in force, the statuses and the days left.</t>
        </is>
      </c>
    </row>
    <row r="5">
      <c r="A5" s="8" t="inlineStr">
        <is>
          <t>THE CHECK</t>
        </is>
      </c>
      <c r="B5" s="10" t="str">
        <f>IF(B113=0,"✓ All 10 checks pass: the entries are complete, typed as dates and numbers, and in order.","✗ "&amp;B113&amp;" check(s) fail: see the list under the abstract.")</f>
        <v>✓ All 10 checks pass: the entries are complete, typed as dates and numbers, and in order.</v>
      </c>
    </row>
    <row r="6">
      <c r="A6" s="8" t="inlineStr">
        <is>
          <t>Flags</t>
        </is>
      </c>
      <c r="B6" s="8" t="str">
        <f>IF(B119=0,"No flags.","⚠ "&amp;B119&amp;" flag(s): see the list under the checks.")</f>
        <v>No flags.</v>
      </c>
    </row>
    <row r="8">
      <c r="A8" s="11" t="inlineStr">
        <is>
          <t>Field</t>
        </is>
      </c>
      <c r="B8" s="11" t="inlineStr">
        <is>
          <t>Entry</t>
        </is>
      </c>
      <c r="C8" s="11" t="inlineStr">
        <is>
          <t>Lease reference</t>
        </is>
      </c>
      <c r="D8" s="11" t="inlineStr">
        <is>
          <t>How to read it</t>
        </is>
      </c>
      <c r="E8" s="11" t="inlineStr">
        <is>
          <t>helper: kind</t>
        </is>
      </c>
      <c r="F8" s="11" t="inlineStr">
        <is>
          <t>helper: typed as text (1/0)</t>
        </is>
      </c>
      <c r="H8" s="12" t="inlineStr">
        <is>
          <t>List: escalation methods</t>
        </is>
      </c>
    </row>
    <row r="9">
      <c r="A9" s="13" t="inlineStr">
        <is>
          <t>1. Lease documents</t>
        </is>
      </c>
    </row>
    <row r="10">
      <c r="A10" s="14" t="inlineStr">
        <is>
          <t>Lease date</t>
        </is>
      </c>
      <c r="B10" s="15" t="n">
        <v>45672</v>
      </c>
      <c r="C10" s="16" t="inlineStr">
        <is>
          <t>p. 1</t>
        </is>
      </c>
      <c r="D10" s="5" t="inlineStr">
        <is>
          <t>The date on the lease's first page</t>
        </is>
      </c>
      <c r="E10" s="17" t="inlineStr">
        <is>
          <t>date</t>
        </is>
      </c>
      <c r="F10" s="18">
        <f>IF(AND(B10&lt;&gt;"",NOT(ISNUMBER(B10))),1,0)</f>
        <v>0</v>
      </c>
      <c r="H10" s="19" t="inlineStr">
        <is>
          <t>None</t>
        </is>
      </c>
    </row>
    <row r="11">
      <c r="A11" s="14" t="inlineStr">
        <is>
          <t>Amendments, side letters, other documents</t>
        </is>
      </c>
      <c r="B11" s="16" t="inlineStr">
        <is>
          <t>None</t>
        </is>
      </c>
      <c r="C11" s="16" t="inlineStr">
        <is>
          <t>—</t>
        </is>
      </c>
      <c r="D11" s="5" t="inlineStr">
        <is>
          <t>List each, latest first. A field cites the latest document that sets it.</t>
        </is>
      </c>
      <c r="E11" s="17" t="inlineStr">
        <is>
          <t>text</t>
        </is>
      </c>
      <c r="H11" s="19" t="inlineStr">
        <is>
          <t>Percentage, compounding</t>
        </is>
      </c>
    </row>
    <row r="12">
      <c r="A12" s="13" t="inlineStr">
        <is>
          <t>2. Parties</t>
        </is>
      </c>
      <c r="H12" s="19" t="inlineStr">
        <is>
          <t>Percentage, simple</t>
        </is>
      </c>
    </row>
    <row r="13">
      <c r="A13" s="14" t="inlineStr">
        <is>
          <t>Landlord (legal name)</t>
        </is>
      </c>
      <c r="B13" s="16" t="inlineStr">
        <is>
          <t>Larkspur Retail Center LLC</t>
        </is>
      </c>
      <c r="C13" s="16" t="inlineStr">
        <is>
          <t>Parties, p. 1</t>
        </is>
      </c>
      <c r="D13" s="5" t="inlineStr">
        <is>
          <t>Exactly as on the lease</t>
        </is>
      </c>
      <c r="E13" s="17" t="inlineStr">
        <is>
          <t>text</t>
        </is>
      </c>
      <c r="H13" s="19" t="inlineStr">
        <is>
          <t>Fixed steps</t>
        </is>
      </c>
    </row>
    <row r="14">
      <c r="A14" s="14" t="inlineStr">
        <is>
          <t>Tenant (legal name)</t>
        </is>
      </c>
      <c r="B14" s="16" t="inlineStr">
        <is>
          <t>Linden Street Bakery LLC</t>
        </is>
      </c>
      <c r="C14" s="16" t="inlineStr">
        <is>
          <t>Parties, p. 1</t>
        </is>
      </c>
      <c r="D14" s="5" t="inlineStr">
        <is>
          <t>Exactly as on the lease; the entity whose insurance and guaranty count</t>
        </is>
      </c>
      <c r="E14" s="17" t="inlineStr">
        <is>
          <t>text</t>
        </is>
      </c>
      <c r="H14" s="19" t="inlineStr">
        <is>
          <t>Index (typed each year)</t>
        </is>
      </c>
    </row>
    <row r="15">
      <c r="A15" s="14" t="inlineStr">
        <is>
          <t>Trade name (d/b/a)</t>
        </is>
      </c>
      <c r="B15" s="16" t="inlineStr">
        <is>
          <t>Linden Street Bakery</t>
        </is>
      </c>
      <c r="C15" s="16" t="inlineStr">
        <is>
          <t>Parties, p. 1</t>
        </is>
      </c>
      <c r="D15" s="5" t="inlineStr"/>
      <c r="E15" s="17" t="inlineStr">
        <is>
          <t>text</t>
        </is>
      </c>
    </row>
    <row r="16">
      <c r="A16" s="14" t="inlineStr">
        <is>
          <t>Guarantor</t>
        </is>
      </c>
      <c r="B16" s="16" t="inlineStr">
        <is>
          <t>None</t>
        </is>
      </c>
      <c r="C16" s="16" t="inlineStr">
        <is>
          <t>—</t>
        </is>
      </c>
      <c r="D16" s="5" t="inlineStr">
        <is>
          <t>Name and scope of any guaranty</t>
        </is>
      </c>
      <c r="E16" s="17" t="inlineStr">
        <is>
          <t>text</t>
        </is>
      </c>
    </row>
    <row r="17">
      <c r="A17" s="14" t="inlineStr">
        <is>
          <t>Notices: how and where</t>
        </is>
      </c>
      <c r="B17" s="16" t="inlineStr">
        <is>
          <t>In writing, by hand, certified mail or overnight courier, to the addresses in §25; effective on receipt</t>
        </is>
      </c>
      <c r="C17" s="16" t="inlineStr">
        <is>
          <t>§25</t>
        </is>
      </c>
      <c r="D17" s="5" t="inlineStr">
        <is>
          <t>How notice must be delivered decides whether an option is exercised in time</t>
        </is>
      </c>
      <c r="E17" s="17" t="inlineStr">
        <is>
          <t>text</t>
        </is>
      </c>
    </row>
    <row r="18">
      <c r="A18" s="13" t="inlineStr">
        <is>
          <t>3. Premises</t>
        </is>
      </c>
    </row>
    <row r="19">
      <c r="A19" s="14" t="inlineStr">
        <is>
          <t>Property</t>
        </is>
      </c>
      <c r="B19" s="16" t="inlineStr">
        <is>
          <t>Larkspur Retail Center</t>
        </is>
      </c>
      <c r="C19" s="16" t="inlineStr">
        <is>
          <t>§1.1</t>
        </is>
      </c>
      <c r="D19" s="5" t="inlineStr"/>
      <c r="E19" s="17" t="inlineStr">
        <is>
          <t>text</t>
        </is>
      </c>
    </row>
    <row r="20">
      <c r="A20" s="14" t="inlineStr">
        <is>
          <t>Premises (suites)</t>
        </is>
      </c>
      <c r="B20" s="16" t="inlineStr">
        <is>
          <t>Suites 101 and 102</t>
        </is>
      </c>
      <c r="C20" s="16" t="inlineStr">
        <is>
          <t>§1.2</t>
        </is>
      </c>
      <c r="D20" s="5" t="inlineStr"/>
      <c r="E20" s="17" t="inlineStr">
        <is>
          <t>text</t>
        </is>
      </c>
    </row>
    <row r="21">
      <c r="A21" s="14" t="inlineStr">
        <is>
          <t>Rentable area (sq ft)</t>
        </is>
      </c>
      <c r="B21" s="20" t="n">
        <v>2400</v>
      </c>
      <c r="C21" s="16" t="inlineStr">
        <is>
          <t>§1.3</t>
        </is>
      </c>
      <c r="D21" s="5" t="inlineStr">
        <is>
          <t>As the lease states it</t>
        </is>
      </c>
      <c r="E21" s="17" t="inlineStr">
        <is>
          <t>number</t>
        </is>
      </c>
      <c r="F21" s="18">
        <f>IF(AND(B21&lt;&gt;"",NOT(ISNUMBER(B21))),1,0)</f>
        <v>0</v>
      </c>
    </row>
    <row r="22">
      <c r="A22" s="14" t="inlineStr">
        <is>
          <t>Measurement standard named</t>
        </is>
      </c>
      <c r="B22" s="16" t="inlineStr">
        <is>
          <t>Not addressed in the lease</t>
        </is>
      </c>
      <c r="C22" s="16" t="inlineStr">
        <is>
          <t>§1.3</t>
        </is>
      </c>
      <c r="D22" s="5" t="inlineStr">
        <is>
          <t>The standard and edition the lease names, if any</t>
        </is>
      </c>
      <c r="E22" s="17" t="inlineStr">
        <is>
          <t>text</t>
        </is>
      </c>
    </row>
    <row r="23">
      <c r="A23" s="14" t="inlineStr">
        <is>
          <t>Share denominator (sq ft)</t>
        </is>
      </c>
      <c r="B23" s="20" t="n">
        <v>18500</v>
      </c>
      <c r="C23" s="16" t="inlineStr">
        <is>
          <t>§5.1</t>
        </is>
      </c>
      <c r="D23" s="5" t="inlineStr">
        <is>
          <t>The area the lease divides by</t>
        </is>
      </c>
      <c r="E23" s="17" t="inlineStr">
        <is>
          <t>number</t>
        </is>
      </c>
      <c r="F23" s="18">
        <f>IF(AND(B23&lt;&gt;"",NOT(ISNUMBER(B23))),1,0)</f>
        <v>0</v>
      </c>
    </row>
    <row r="24">
      <c r="A24" s="14" t="inlineStr">
        <is>
          <t>Pro-rata share stated in the lease</t>
        </is>
      </c>
      <c r="B24" s="21" t="n">
        <v>0.12973</v>
      </c>
      <c r="C24" s="16" t="inlineStr">
        <is>
          <t>§5.1</t>
        </is>
      </c>
      <c r="D24" s="5" t="inlineStr">
        <is>
          <t>Only if the lease states a percentage</t>
        </is>
      </c>
      <c r="E24" s="17" t="inlineStr">
        <is>
          <t>percent3</t>
        </is>
      </c>
      <c r="F24" s="18">
        <f>IF(AND(B24&lt;&gt;"",NOT(ISNUMBER(B24))),1,0)</f>
        <v>0</v>
      </c>
    </row>
    <row r="25">
      <c r="A25" s="14" t="inlineStr">
        <is>
          <t>Pro-rata share, area ÷ denominator</t>
        </is>
      </c>
      <c r="B25" s="22">
        <f>IF(AND(ISNUMBER(B21),ISNUMBER(B23)),IF(B23&gt;0,B21/B23,""),"")</f>
        <v>0.12972972973</v>
      </c>
      <c r="C25" s="16" t="inlineStr">
        <is>
          <t>—</t>
        </is>
      </c>
      <c r="D25" s="5" t="inlineStr">
        <is>
          <t>Worked out; compare with the stated share</t>
        </is>
      </c>
      <c r="E25" s="17" t="inlineStr">
        <is>
          <t>percent3</t>
        </is>
      </c>
    </row>
    <row r="26">
      <c r="A26" s="13" t="inlineStr">
        <is>
          <t>4. Term</t>
        </is>
      </c>
    </row>
    <row r="27">
      <c r="A27" s="14" t="inlineStr">
        <is>
          <t>Commencement date</t>
        </is>
      </c>
      <c r="B27" s="15" t="n">
        <v>45717</v>
      </c>
      <c r="C27" s="16" t="inlineStr">
        <is>
          <t>§3.1</t>
        </is>
      </c>
      <c r="D27" s="5" t="inlineStr"/>
      <c r="E27" s="17" t="inlineStr">
        <is>
          <t>date</t>
        </is>
      </c>
      <c r="F27" s="18">
        <f>IF(AND(B27&lt;&gt;"",NOT(ISNUMBER(B27))),1,0)</f>
        <v>0</v>
      </c>
    </row>
    <row r="28">
      <c r="A28" s="14" t="inlineStr">
        <is>
          <t>Rent commencement date</t>
        </is>
      </c>
      <c r="B28" s="15" t="n">
        <v>45717</v>
      </c>
      <c r="C28" s="16" t="inlineStr">
        <is>
          <t>§3.1</t>
        </is>
      </c>
      <c r="D28" s="5" t="inlineStr">
        <is>
          <t>If blank, the commencement date</t>
        </is>
      </c>
      <c r="E28" s="17" t="inlineStr">
        <is>
          <t>date</t>
        </is>
      </c>
      <c r="F28" s="18">
        <f>IF(AND(B28&lt;&gt;"",NOT(ISNUMBER(B28))),1,0)</f>
        <v>0</v>
      </c>
    </row>
    <row r="29">
      <c r="A29" s="14" t="inlineStr">
        <is>
          <t>Expiration date</t>
        </is>
      </c>
      <c r="B29" s="15" t="n">
        <v>47118</v>
      </c>
      <c r="C29" s="16" t="inlineStr">
        <is>
          <t>§3.2</t>
        </is>
      </c>
      <c r="D29" s="5" t="inlineStr">
        <is>
          <t>The last day of the term</t>
        </is>
      </c>
      <c r="E29" s="17" t="inlineStr">
        <is>
          <t>date</t>
        </is>
      </c>
      <c r="F29" s="18">
        <f>IF(AND(B29&lt;&gt;"",NOT(ISNUMBER(B29))),1,0)</f>
        <v>0</v>
      </c>
    </row>
    <row r="30">
      <c r="A30" s="14" t="inlineStr">
        <is>
          <t>Term</t>
        </is>
      </c>
      <c r="B30" s="23">
        <f>IF(AND(ISNUMBER(B27),ISNUMBER(B29)),IF(B29&gt;=B27,IF(MIN(DATE(YEAR(B27),MONTH(B27)+(((YEAR(B29+1)-YEAR(B27))*12+MONTH(B29+1)-MONTH(B27))),DAY(B27)),EOMONTH(DATE(YEAR(B27),MONTH(B27)+(((YEAR(B29+1)-YEAR(B27))*12+MONTH(B29+1)-MONTH(B27))),1),0))=B29+1,((YEAR(B29+1)-YEAR(B27))*12+MONTH(B29+1)-MONTH(B27)),""),""),"")</f>
        <v>46</v>
      </c>
      <c r="C30" s="16" t="inlineStr">
        <is>
          <t>§3.2</t>
        </is>
      </c>
      <c r="D30" s="5" t="inlineStr">
        <is>
          <t>Months from commencement through expiration</t>
        </is>
      </c>
      <c r="E30" s="17" t="inlineStr">
        <is>
          <t>months</t>
        </is>
      </c>
    </row>
    <row r="31">
      <c r="A31" s="14" t="inlineStr">
        <is>
          <t>Holdover rent, % of the monthly base rent at expiration</t>
        </is>
      </c>
      <c r="B31" s="24" t="n">
        <v>1.5</v>
      </c>
      <c r="C31" s="16" t="inlineStr">
        <is>
          <t>§21</t>
        </is>
      </c>
      <c r="D31" s="5" t="inlineStr"/>
      <c r="E31" s="17" t="inlineStr">
        <is>
          <t>percent0</t>
        </is>
      </c>
      <c r="F31" s="18">
        <f>IF(AND(B31&lt;&gt;"",NOT(ISNUMBER(B31))),1,0)</f>
        <v>0</v>
      </c>
    </row>
    <row r="32">
      <c r="A32" s="14" t="inlineStr">
        <is>
          <t>Holdover rent, monthly</t>
        </is>
      </c>
      <c r="B32" s="25">
        <f>IF(AND(ISNUMBER(B31),ISNUMBER('Rent schedule'!$B$29)),ROUND('Rent schedule'!$B$29*B31,2),"")</f>
        <v>9834.54</v>
      </c>
      <c r="C32" s="16" t="inlineStr">
        <is>
          <t>§21</t>
        </is>
      </c>
      <c r="D32" s="5" t="inlineStr"/>
      <c r="E32" s="17" t="inlineStr">
        <is>
          <t>money</t>
        </is>
      </c>
    </row>
    <row r="33">
      <c r="A33" s="13" t="inlineStr">
        <is>
          <t>5. Base rent</t>
        </is>
      </c>
    </row>
    <row r="34">
      <c r="A34" s="14" t="inlineStr">
        <is>
          <t>Base rent at rent commencement, $ per sq ft per year</t>
        </is>
      </c>
      <c r="B34" s="26" t="n">
        <v>30</v>
      </c>
      <c r="C34" s="16" t="inlineStr">
        <is>
          <t>§4.1</t>
        </is>
      </c>
      <c r="D34" s="5" t="inlineStr"/>
      <c r="E34" s="17" t="inlineStr">
        <is>
          <t>money</t>
        </is>
      </c>
      <c r="F34" s="18">
        <f>IF(AND(B34&lt;&gt;"",NOT(ISNUMBER(B34))),1,0)</f>
        <v>0</v>
      </c>
    </row>
    <row r="35">
      <c r="A35" s="14" t="inlineStr">
        <is>
          <t>Monthly base rent at rent commencement, if the lease states it</t>
        </is>
      </c>
      <c r="B35" s="26" t="n"/>
      <c r="C35" s="16" t="n"/>
      <c r="D35" s="5" t="inlineStr">
        <is>
          <t>Leave blank when the lease states a rate. If both are typed, they must agree to the cent.</t>
        </is>
      </c>
      <c r="E35" s="17" t="inlineStr">
        <is>
          <t>money</t>
        </is>
      </c>
      <c r="F35" s="18">
        <f>IF(AND(B35&lt;&gt;"",NOT(ISNUMBER(B35))),1,0)</f>
        <v>0</v>
      </c>
    </row>
    <row r="36">
      <c r="A36" s="14" t="inlineStr">
        <is>
          <t>Monthly base rent at rent commencement</t>
        </is>
      </c>
      <c r="B36" s="25">
        <f>IF(ISNUMBER(B34),IF(ISNUMBER(B21),ROUND(B21*B34/12,2),""),IF(ISNUMBER(B35),B35,""))</f>
        <v>6000</v>
      </c>
      <c r="C36" s="16" t="inlineStr">
        <is>
          <t>§4.1</t>
        </is>
      </c>
      <c r="D36" s="5" t="inlineStr"/>
      <c r="E36" s="17" t="inlineStr">
        <is>
          <t>money</t>
        </is>
      </c>
    </row>
    <row r="37">
      <c r="A37" s="14" t="inlineStr">
        <is>
          <t>Escalation method</t>
        </is>
      </c>
      <c r="B37" s="16" t="inlineStr">
        <is>
          <t>Percentage, compounding</t>
        </is>
      </c>
      <c r="C37" s="16" t="n"/>
      <c r="D37" s="5" t="inlineStr">
        <is>
          <t>Pick from the list. Fixed steps and index rents are typed by lease year on the Rent schedule sheet.</t>
        </is>
      </c>
      <c r="E37" s="17" t="inlineStr">
        <is>
          <t>list</t>
        </is>
      </c>
    </row>
    <row r="38">
      <c r="A38" s="14" t="inlineStr">
        <is>
          <t>Escalation per lease year</t>
        </is>
      </c>
      <c r="B38" s="24" t="n">
        <v>0.03</v>
      </c>
      <c r="C38" s="16" t="n"/>
      <c r="D38" s="5" t="inlineStr">
        <is>
          <t>For the two percentage methods</t>
        </is>
      </c>
      <c r="E38" s="17" t="inlineStr">
        <is>
          <t>percent0</t>
        </is>
      </c>
      <c r="F38" s="18">
        <f>IF(AND(B38&lt;&gt;"",NOT(ISNUMBER(B38))),1,0)</f>
        <v>0</v>
      </c>
    </row>
    <row r="39">
      <c r="A39" s="14" t="inlineStr">
        <is>
          <t>Escalation, as the lease words it</t>
        </is>
      </c>
      <c r="B39" s="16" t="inlineStr">
        <is>
          <t>+3% each lease year, on the previous year's rent</t>
        </is>
      </c>
      <c r="C39" s="16" t="inlineStr">
        <is>
          <t>§4.2</t>
        </is>
      </c>
      <c r="D39" s="5" t="inlineStr">
        <is>
          <t>Quote the clause's terms: kind, index and month, floor, cap</t>
        </is>
      </c>
      <c r="E39" s="17" t="inlineStr">
        <is>
          <t>text</t>
        </is>
      </c>
    </row>
    <row r="40">
      <c r="A40" s="14" t="inlineStr">
        <is>
          <t>Free or reduced rent</t>
        </is>
      </c>
      <c r="B40" s="16" t="inlineStr">
        <is>
          <t>None</t>
        </is>
      </c>
      <c r="C40" s="16" t="inlineStr">
        <is>
          <t>—</t>
        </is>
      </c>
      <c r="D40" s="5" t="inlineStr">
        <is>
          <t>Period and share; abated rent stays the rent in force</t>
        </is>
      </c>
      <c r="E40" s="17" t="inlineStr">
        <is>
          <t>text</t>
        </is>
      </c>
    </row>
    <row r="41">
      <c r="A41" s="14" t="inlineStr">
        <is>
          <t>Rent due, and partial months</t>
        </is>
      </c>
      <c r="B41" s="16" t="inlineStr">
        <is>
          <t>Monthly in advance on the 1st; a partial month by the actual days in that month</t>
        </is>
      </c>
      <c r="C41" s="16" t="inlineStr">
        <is>
          <t>§4.3</t>
        </is>
      </c>
      <c r="D41" s="5" t="inlineStr"/>
      <c r="E41" s="17" t="inlineStr">
        <is>
          <t>text</t>
        </is>
      </c>
    </row>
    <row r="42">
      <c r="A42" s="14" t="inlineStr">
        <is>
          <t>Late charge</t>
        </is>
      </c>
      <c r="B42" s="16" t="inlineStr">
        <is>
          <t>5% of any amount unpaid 5 days after it is due</t>
        </is>
      </c>
      <c r="C42" s="16" t="inlineStr">
        <is>
          <t>§4.4</t>
        </is>
      </c>
      <c r="D42" s="5" t="inlineStr"/>
      <c r="E42" s="17" t="inlineStr">
        <is>
          <t>text</t>
        </is>
      </c>
    </row>
    <row r="43">
      <c r="A43" s="14" t="inlineStr">
        <is>
          <t>Percentage rent</t>
        </is>
      </c>
      <c r="B43" s="16" t="inlineStr">
        <is>
          <t>None</t>
        </is>
      </c>
      <c r="C43" s="16" t="inlineStr">
        <is>
          <t>—</t>
        </is>
      </c>
      <c r="D43" s="5" t="inlineStr"/>
      <c r="E43" s="17" t="inlineStr">
        <is>
          <t>text</t>
        </is>
      </c>
    </row>
    <row r="44">
      <c r="A44" s="14" t="inlineStr">
        <is>
          <t>Monthly base rent on the as-of date</t>
        </is>
      </c>
      <c r="B44" s="27">
        <f>'Rent schedule'!$B$33</f>
        <v>6180</v>
      </c>
      <c r="C44" s="16" t="n"/>
      <c r="D44" s="5" t="inlineStr">
        <is>
          <t>From the Rent schedule sheet</t>
        </is>
      </c>
      <c r="E44" s="17" t="inlineStr">
        <is>
          <t>money</t>
        </is>
      </c>
    </row>
    <row r="45">
      <c r="A45" s="14" t="inlineStr">
        <is>
          <t>Next rent change</t>
        </is>
      </c>
      <c r="B45" s="28">
        <f>'Rent schedule'!$B$34</f>
        <v>46447</v>
      </c>
      <c r="C45" s="16" t="n"/>
      <c r="D45" s="5" t="inlineStr">
        <is>
          <t>From the Rent schedule sheet</t>
        </is>
      </c>
      <c r="E45" s="17" t="inlineStr">
        <is>
          <t>date</t>
        </is>
      </c>
    </row>
    <row r="46">
      <c r="A46" s="14" t="inlineStr">
        <is>
          <t>Next monthly base rent</t>
        </is>
      </c>
      <c r="B46" s="27">
        <f>'Rent schedule'!$B$35</f>
        <v>6365.4</v>
      </c>
      <c r="C46" s="16" t="n"/>
      <c r="D46" s="5" t="inlineStr">
        <is>
          <t>From the Rent schedule sheet</t>
        </is>
      </c>
      <c r="E46" s="17" t="inlineStr">
        <is>
          <t>money</t>
        </is>
      </c>
    </row>
    <row r="47">
      <c r="A47" s="14" t="inlineStr">
        <is>
          <t>Base rent over the term</t>
        </is>
      </c>
      <c r="B47" s="27">
        <f>'Rent schedule'!$B$31</f>
        <v>288108.4</v>
      </c>
      <c r="C47" s="16" t="inlineStr">
        <is>
          <t>§4.2</t>
        </is>
      </c>
      <c r="D47" s="5" t="inlineStr">
        <is>
          <t>The rent schedule's total; left blank when a lease year ends mid-month</t>
        </is>
      </c>
      <c r="E47" s="17" t="inlineStr">
        <is>
          <t>money</t>
        </is>
      </c>
    </row>
    <row r="48">
      <c r="A48" s="13" t="inlineStr">
        <is>
          <t>6. Recoveries (CAM, taxes, insurance)</t>
        </is>
      </c>
    </row>
    <row r="49">
      <c r="A49" s="14" t="inlineStr">
        <is>
          <t>Lease type</t>
        </is>
      </c>
      <c r="B49" s="16" t="inlineStr">
        <is>
          <t>Triple net (NNN)</t>
        </is>
      </c>
      <c r="C49" s="16" t="inlineStr">
        <is>
          <t>§5.1</t>
        </is>
      </c>
      <c r="D49" s="5" t="inlineStr"/>
      <c r="E49" s="17" t="inlineStr">
        <is>
          <t>text</t>
        </is>
      </c>
    </row>
    <row r="50">
      <c r="A50" s="14" t="inlineStr">
        <is>
          <t>What the tenant shares</t>
        </is>
      </c>
      <c r="B50" s="16" t="inlineStr">
        <is>
          <t>CAM, real estate taxes and the landlord's insurance</t>
        </is>
      </c>
      <c r="C50" s="16" t="inlineStr">
        <is>
          <t>§5.1</t>
        </is>
      </c>
      <c r="D50" s="5" t="inlineStr">
        <is>
          <t>The pools</t>
        </is>
      </c>
      <c r="E50" s="17" t="inlineStr">
        <is>
          <t>text</t>
        </is>
      </c>
    </row>
    <row r="51">
      <c r="A51" s="14" t="inlineStr">
        <is>
          <t>Administrative fee</t>
        </is>
      </c>
      <c r="B51" s="16" t="inlineStr">
        <is>
          <t>10% of CAM, excluding taxes and insurance</t>
        </is>
      </c>
      <c r="C51" s="16" t="inlineStr">
        <is>
          <t>§5.2</t>
        </is>
      </c>
      <c r="D51" s="5" t="inlineStr">
        <is>
          <t>Rate and the base it applies to</t>
        </is>
      </c>
      <c r="E51" s="17" t="inlineStr">
        <is>
          <t>text</t>
        </is>
      </c>
    </row>
    <row r="52">
      <c r="A52" s="14" t="inlineStr">
        <is>
          <t>Base year or expense stop</t>
        </is>
      </c>
      <c r="B52" s="16" t="inlineStr">
        <is>
          <t>None</t>
        </is>
      </c>
      <c r="C52" s="16" t="inlineStr">
        <is>
          <t>—</t>
        </is>
      </c>
      <c r="D52" s="5" t="inlineStr"/>
      <c r="E52" s="17" t="inlineStr">
        <is>
          <t>text</t>
        </is>
      </c>
    </row>
    <row r="53">
      <c r="A53" s="14" t="inlineStr">
        <is>
          <t>Gross-up</t>
        </is>
      </c>
      <c r="B53" s="16" t="inlineStr">
        <is>
          <t>Not addressed in the lease</t>
        </is>
      </c>
      <c r="C53" s="16" t="inlineStr">
        <is>
          <t>—</t>
        </is>
      </c>
      <c r="D53" s="5" t="inlineStr">
        <is>
          <t>Write "Not addressed" rather than leave it blank</t>
        </is>
      </c>
      <c r="E53" s="17" t="inlineStr">
        <is>
          <t>text</t>
        </is>
      </c>
    </row>
    <row r="54">
      <c r="A54" s="14" t="inlineStr">
        <is>
          <t>Cap</t>
        </is>
      </c>
      <c r="B54" s="16" t="inlineStr">
        <is>
          <t>Controllable CAM: 5% a year over the prior year's controllable CAM, non-cumulative; taxes, insurance, snow removal and utilities are not capped</t>
        </is>
      </c>
      <c r="C54" s="16" t="inlineStr">
        <is>
          <t>§5.4</t>
        </is>
      </c>
      <c r="D54" s="5" t="inlineStr">
        <is>
          <t>Kind (non-cumulative, cumulative, compounded), rate, scope, reference year</t>
        </is>
      </c>
      <c r="E54" s="17" t="inlineStr">
        <is>
          <t>text</t>
        </is>
      </c>
    </row>
    <row r="55">
      <c r="A55" s="14" t="inlineStr">
        <is>
          <t>Exclusions</t>
        </is>
      </c>
      <c r="B55" s="16" t="inlineStr">
        <is>
          <t>Capital repairs and replacements, leasing commissions, the landlord's income taxes, and costs another party reimburses</t>
        </is>
      </c>
      <c r="C55" s="16" t="inlineStr">
        <is>
          <t>§5.1(b)</t>
        </is>
      </c>
      <c r="D55" s="5" t="inlineStr"/>
      <c r="E55" s="17" t="inlineStr">
        <is>
          <t>text</t>
        </is>
      </c>
    </row>
    <row r="56">
      <c r="A56" s="14" t="inlineStr">
        <is>
          <t>Current recovery estimate, $ per sq ft per year</t>
        </is>
      </c>
      <c r="B56" s="26" t="n">
        <v>8</v>
      </c>
      <c r="C56" s="16" t="inlineStr">
        <is>
          <t>§5.3; 2026 estimate</t>
        </is>
      </c>
      <c r="D56" s="5" t="inlineStr">
        <is>
          <t>Set by the landlord; note the year</t>
        </is>
      </c>
      <c r="E56" s="17" t="inlineStr">
        <is>
          <t>money</t>
        </is>
      </c>
      <c r="F56" s="18">
        <f>IF(AND(B56&lt;&gt;"",NOT(ISNUMBER(B56))),1,0)</f>
        <v>0</v>
      </c>
    </row>
    <row r="57">
      <c r="A57" s="14" t="inlineStr">
        <is>
          <t>Current recovery estimate, monthly</t>
        </is>
      </c>
      <c r="B57" s="25">
        <f>IF(AND(ISNUMBER(B56),ISNUMBER(B21)),ROUND(B21*B56/12,2),"")</f>
        <v>1600</v>
      </c>
      <c r="C57" s="16" t="inlineStr">
        <is>
          <t>§5.3</t>
        </is>
      </c>
      <c r="D57" s="5" t="inlineStr"/>
      <c r="E57" s="17" t="inlineStr">
        <is>
          <t>money</t>
        </is>
      </c>
    </row>
    <row r="58">
      <c r="A58" s="14" t="inlineStr">
        <is>
          <t>Reconciliation statement due, days after each calendar year</t>
        </is>
      </c>
      <c r="B58" s="29" t="n">
        <v>120</v>
      </c>
      <c r="C58" s="16" t="inlineStr">
        <is>
          <t>§5.5</t>
        </is>
      </c>
      <c r="D58" s="5" t="inlineStr"/>
      <c r="E58" s="17" t="inlineStr">
        <is>
          <t>days</t>
        </is>
      </c>
      <c r="F58" s="18">
        <f>IF(AND(B58&lt;&gt;"",NOT(ISNUMBER(B58))),1,0)</f>
        <v>0</v>
      </c>
    </row>
    <row r="59">
      <c r="A59" s="14" t="inlineStr">
        <is>
          <t>Tenant audit right</t>
        </is>
      </c>
      <c r="B59" s="16" t="inlineStr">
        <is>
          <t>Within 90 days after receiving the statement, at the tenant's cost</t>
        </is>
      </c>
      <c r="C59" s="16" t="inlineStr">
        <is>
          <t>§5.6</t>
        </is>
      </c>
      <c r="D59" s="5" t="inlineStr"/>
      <c r="E59" s="17" t="inlineStr">
        <is>
          <t>text</t>
        </is>
      </c>
    </row>
    <row r="60">
      <c r="A60" s="13" t="inlineStr">
        <is>
          <t>7. Security deposit</t>
        </is>
      </c>
    </row>
    <row r="61">
      <c r="A61" s="14" t="inlineStr">
        <is>
          <t>Cash deposit</t>
        </is>
      </c>
      <c r="B61" s="26" t="n">
        <v>10000</v>
      </c>
      <c r="C61" s="16" t="inlineStr">
        <is>
          <t>§6</t>
        </is>
      </c>
      <c r="D61" s="5" t="inlineStr"/>
      <c r="E61" s="17" t="inlineStr">
        <is>
          <t>money</t>
        </is>
      </c>
      <c r="F61" s="18">
        <f>IF(AND(B61&lt;&gt;"",NOT(ISNUMBER(B61))),1,0)</f>
        <v>0</v>
      </c>
    </row>
    <row r="62">
      <c r="A62" s="14" t="inlineStr">
        <is>
          <t>Letter of credit</t>
        </is>
      </c>
      <c r="B62" s="26" t="n"/>
      <c r="C62" s="16" t="inlineStr">
        <is>
          <t>—</t>
        </is>
      </c>
      <c r="D62" s="5" t="inlineStr"/>
      <c r="E62" s="17" t="inlineStr">
        <is>
          <t>money</t>
        </is>
      </c>
      <c r="F62" s="18">
        <f>IF(AND(B62&lt;&gt;"",NOT(ISNUMBER(B62))),1,0)</f>
        <v>0</v>
      </c>
    </row>
    <row r="63">
      <c r="A63" s="14" t="inlineStr">
        <is>
          <t>Letter of credit expires</t>
        </is>
      </c>
      <c r="B63" s="15" t="n"/>
      <c r="C63" s="16" t="inlineStr">
        <is>
          <t>—</t>
        </is>
      </c>
      <c r="D63" s="5" t="inlineStr"/>
      <c r="E63" s="17" t="inlineStr">
        <is>
          <t>date</t>
        </is>
      </c>
      <c r="F63" s="18">
        <f>IF(AND(B63&lt;&gt;"",NOT(ISNUMBER(B63))),1,0)</f>
        <v>0</v>
      </c>
    </row>
    <row r="64">
      <c r="A64" s="14" t="inlineStr">
        <is>
          <t>Return of the deposit</t>
        </is>
      </c>
      <c r="B64" s="16" t="inlineStr">
        <is>
          <t>Within the time the lease and local law allow, less itemized deductions</t>
        </is>
      </c>
      <c r="C64" s="16" t="inlineStr">
        <is>
          <t>§6.3</t>
        </is>
      </c>
      <c r="D64" s="5" t="inlineStr"/>
      <c r="E64" s="17" t="inlineStr">
        <is>
          <t>text</t>
        </is>
      </c>
    </row>
    <row r="65">
      <c r="A65" s="13" t="inlineStr">
        <is>
          <t>8. Options: on the Options sheet</t>
        </is>
      </c>
    </row>
    <row r="66">
      <c r="A66" s="13" t="inlineStr">
        <is>
          <t>9. Tenant insurance</t>
        </is>
      </c>
    </row>
    <row r="67">
      <c r="A67" s="14" t="inlineStr">
        <is>
          <t>Commercial general liability, each occurrence</t>
        </is>
      </c>
      <c r="B67" s="30" t="n">
        <v>2000000</v>
      </c>
      <c r="C67" s="16" t="inlineStr">
        <is>
          <t>§12</t>
        </is>
      </c>
      <c r="D67" s="5" t="inlineStr">
        <is>
          <t>Each occurrence, not the aggregate</t>
        </is>
      </c>
      <c r="E67" s="17" t="inlineStr">
        <is>
          <t>money0</t>
        </is>
      </c>
      <c r="F67" s="18">
        <f>IF(AND(B67&lt;&gt;"",NOT(ISNUMBER(B67))),1,0)</f>
        <v>0</v>
      </c>
    </row>
    <row r="68">
      <c r="A68" s="14" t="inlineStr">
        <is>
          <t>Additional insured</t>
        </is>
      </c>
      <c r="B68" s="16" t="inlineStr">
        <is>
          <t>Landlord</t>
        </is>
      </c>
      <c r="C68" s="16" t="inlineStr">
        <is>
          <t>§12</t>
        </is>
      </c>
      <c r="D68" s="5" t="inlineStr">
        <is>
          <t>Who must be named, by endorsement</t>
        </is>
      </c>
      <c r="E68" s="17" t="inlineStr">
        <is>
          <t>text</t>
        </is>
      </c>
    </row>
    <row r="69">
      <c r="A69" s="14" t="inlineStr">
        <is>
          <t>Property insurance</t>
        </is>
      </c>
      <c r="B69" s="16" t="inlineStr">
        <is>
          <t>Tenant's improvements and personal property, full replacement cost</t>
        </is>
      </c>
      <c r="C69" s="16" t="inlineStr">
        <is>
          <t>§12.2</t>
        </is>
      </c>
      <c r="D69" s="5" t="inlineStr"/>
      <c r="E69" s="17" t="inlineStr">
        <is>
          <t>text</t>
        </is>
      </c>
    </row>
    <row r="70">
      <c r="A70" s="14" t="inlineStr">
        <is>
          <t>Workers' compensation</t>
        </is>
      </c>
      <c r="B70" s="16" t="inlineStr">
        <is>
          <t>As required by law</t>
        </is>
      </c>
      <c r="C70" s="16" t="inlineStr">
        <is>
          <t>§12.3</t>
        </is>
      </c>
      <c r="D70" s="5" t="inlineStr"/>
      <c r="E70" s="17" t="inlineStr">
        <is>
          <t>text</t>
        </is>
      </c>
    </row>
    <row r="71">
      <c r="A71" s="14" t="inlineStr">
        <is>
          <t>Waiver of subrogation</t>
        </is>
      </c>
      <c r="B71" s="16" t="inlineStr">
        <is>
          <t>Mutual</t>
        </is>
      </c>
      <c r="C71" s="16" t="inlineStr">
        <is>
          <t>§12.4</t>
        </is>
      </c>
      <c r="D71" s="5" t="inlineStr"/>
      <c r="E71" s="17" t="inlineStr">
        <is>
          <t>text</t>
        </is>
      </c>
    </row>
    <row r="72">
      <c r="A72" s="14" t="inlineStr">
        <is>
          <t>Certificates due</t>
        </is>
      </c>
      <c r="B72" s="16" t="inlineStr">
        <is>
          <t>Before possession, and at each renewal</t>
        </is>
      </c>
      <c r="C72" s="16" t="inlineStr">
        <is>
          <t>§12.5</t>
        </is>
      </c>
      <c r="D72" s="5" t="inlineStr"/>
      <c r="E72" s="17" t="inlineStr">
        <is>
          <t>text</t>
        </is>
      </c>
    </row>
    <row r="73">
      <c r="A73" s="14" t="inlineStr">
        <is>
          <t>Certificate on file expires</t>
        </is>
      </c>
      <c r="B73" s="15" t="n">
        <v>46568</v>
      </c>
      <c r="C73" s="16" t="inlineStr">
        <is>
          <t>Certificate on file</t>
        </is>
      </c>
      <c r="D73" s="5" t="inlineStr">
        <is>
          <t>From the certificate, not the lease</t>
        </is>
      </c>
      <c r="E73" s="17" t="inlineStr">
        <is>
          <t>date</t>
        </is>
      </c>
      <c r="F73" s="18">
        <f>IF(AND(B73&lt;&gt;"",NOT(ISNUMBER(B73))),1,0)</f>
        <v>0</v>
      </c>
    </row>
    <row r="74">
      <c r="A74" s="13" t="inlineStr">
        <is>
          <t>10. Maintenance and repairs</t>
        </is>
      </c>
    </row>
    <row r="75">
      <c r="A75" s="14" t="inlineStr">
        <is>
          <t>Landlord</t>
        </is>
      </c>
      <c r="B75" s="16" t="inlineStr">
        <is>
          <t>Roof, structure, foundation, exterior walls and common areas; common-area costs are recovered through CAM</t>
        </is>
      </c>
      <c r="C75" s="16" t="inlineStr">
        <is>
          <t>§9.1</t>
        </is>
      </c>
      <c r="D75" s="5" t="inlineStr"/>
      <c r="E75" s="17" t="inlineStr">
        <is>
          <t>text</t>
        </is>
      </c>
    </row>
    <row r="76">
      <c r="A76" s="14" t="inlineStr">
        <is>
          <t>Tenant</t>
        </is>
      </c>
      <c r="B76" s="16" t="inlineStr">
        <is>
          <t>Interior, storefront and glass, doors, and the plumbing, electrical and HVAC serving the premises</t>
        </is>
      </c>
      <c r="C76" s="16" t="inlineStr">
        <is>
          <t>§9.2</t>
        </is>
      </c>
      <c r="D76" s="5" t="inlineStr"/>
      <c r="E76" s="17" t="inlineStr">
        <is>
          <t>text</t>
        </is>
      </c>
    </row>
    <row r="77">
      <c r="A77" s="14" t="inlineStr">
        <is>
          <t>HVAC service</t>
        </is>
      </c>
      <c r="B77" s="16" t="inlineStr">
        <is>
          <t>Tenant keeps a service contract with a licensed contractor</t>
        </is>
      </c>
      <c r="C77" s="16" t="inlineStr">
        <is>
          <t>§9.3</t>
        </is>
      </c>
      <c r="D77" s="5" t="inlineStr"/>
      <c r="E77" s="17" t="inlineStr">
        <is>
          <t>text</t>
        </is>
      </c>
    </row>
    <row r="78">
      <c r="A78" s="14" t="inlineStr">
        <is>
          <t>Alterations</t>
        </is>
      </c>
      <c r="B78" s="16" t="inlineStr">
        <is>
          <t>Landlord's written consent for any structural alteration</t>
        </is>
      </c>
      <c r="C78" s="16" t="inlineStr">
        <is>
          <t>§10</t>
        </is>
      </c>
      <c r="D78" s="5" t="inlineStr"/>
      <c r="E78" s="17" t="inlineStr">
        <is>
          <t>text</t>
        </is>
      </c>
    </row>
    <row r="79">
      <c r="A79" s="13" t="inlineStr">
        <is>
          <t>11. Use</t>
        </is>
      </c>
    </row>
    <row r="80">
      <c r="A80" s="14" t="inlineStr">
        <is>
          <t>Permitted use</t>
        </is>
      </c>
      <c r="B80" s="16" t="inlineStr">
        <is>
          <t>Retail bakery and café</t>
        </is>
      </c>
      <c r="C80" s="16" t="inlineStr">
        <is>
          <t>§1.4</t>
        </is>
      </c>
      <c r="D80" s="5" t="inlineStr"/>
      <c r="E80" s="17" t="inlineStr">
        <is>
          <t>text</t>
        </is>
      </c>
    </row>
    <row r="81">
      <c r="A81" s="14" t="inlineStr">
        <is>
          <t>Exclusive use</t>
        </is>
      </c>
      <c r="B81" s="16" t="inlineStr">
        <is>
          <t>Landlord will not lease other space in the center for a bakery as its primary use</t>
        </is>
      </c>
      <c r="C81" s="16" t="inlineStr">
        <is>
          <t>§1.5</t>
        </is>
      </c>
      <c r="D81" s="5" t="inlineStr"/>
      <c r="E81" s="17" t="inlineStr">
        <is>
          <t>text</t>
        </is>
      </c>
    </row>
    <row r="82">
      <c r="A82" s="14" t="inlineStr">
        <is>
          <t>Prohibited uses</t>
        </is>
      </c>
      <c r="B82" s="16" t="inlineStr">
        <is>
          <t>As listed in §8.2</t>
        </is>
      </c>
      <c r="C82" s="16" t="inlineStr">
        <is>
          <t>§8.2</t>
        </is>
      </c>
      <c r="D82" s="5" t="inlineStr"/>
      <c r="E82" s="17" t="inlineStr">
        <is>
          <t>text</t>
        </is>
      </c>
    </row>
    <row r="83">
      <c r="A83" s="13" t="inlineStr">
        <is>
          <t>12. Assignment and subletting</t>
        </is>
      </c>
    </row>
    <row r="84">
      <c r="A84" s="14" t="inlineStr">
        <is>
          <t>Consent</t>
        </is>
      </c>
      <c r="B84" s="16" t="inlineStr">
        <is>
          <t>Landlord's written consent, not to be unreasonably withheld</t>
        </is>
      </c>
      <c r="C84" s="16" t="inlineStr">
        <is>
          <t>§15.1</t>
        </is>
      </c>
      <c r="D84" s="5" t="inlineStr"/>
      <c r="E84" s="17" t="inlineStr">
        <is>
          <t>text</t>
        </is>
      </c>
    </row>
    <row r="85">
      <c r="A85" s="14" t="inlineStr">
        <is>
          <t>Permitted transfers</t>
        </is>
      </c>
      <c r="B85" s="16" t="inlineStr">
        <is>
          <t>To an affiliate, without consent, on written notice</t>
        </is>
      </c>
      <c r="C85" s="16" t="inlineStr">
        <is>
          <t>§15.2</t>
        </is>
      </c>
      <c r="D85" s="5" t="inlineStr"/>
      <c r="E85" s="17" t="inlineStr">
        <is>
          <t>text</t>
        </is>
      </c>
    </row>
    <row r="86">
      <c r="A86" s="14" t="inlineStr">
        <is>
          <t>Recapture or profit sharing</t>
        </is>
      </c>
      <c r="B86" s="16" t="inlineStr">
        <is>
          <t>None</t>
        </is>
      </c>
      <c r="C86" s="16" t="inlineStr">
        <is>
          <t>—</t>
        </is>
      </c>
      <c r="D86" s="5" t="inlineStr"/>
      <c r="E86" s="17" t="inlineStr">
        <is>
          <t>text</t>
        </is>
      </c>
    </row>
    <row r="87">
      <c r="A87" s="13" t="inlineStr">
        <is>
          <t>13. Other terms</t>
        </is>
      </c>
    </row>
    <row r="88">
      <c r="A88" s="14" t="inlineStr">
        <is>
          <t>Estoppel certificate</t>
        </is>
      </c>
      <c r="B88" s="16" t="inlineStr">
        <is>
          <t>Within 10 days after the landlord's request</t>
        </is>
      </c>
      <c r="C88" s="16" t="inlineStr">
        <is>
          <t>§22</t>
        </is>
      </c>
      <c r="D88" s="5" t="inlineStr"/>
      <c r="E88" s="17" t="inlineStr">
        <is>
          <t>text</t>
        </is>
      </c>
    </row>
    <row r="89">
      <c r="A89" s="14" t="inlineStr">
        <is>
          <t>Subordination and non-disturbance</t>
        </is>
      </c>
      <c r="B89" s="16" t="inlineStr">
        <is>
          <t>Subordinate to mortgages whose holder agrees not to disturb the tenant</t>
        </is>
      </c>
      <c r="C89" s="16" t="inlineStr">
        <is>
          <t>§23</t>
        </is>
      </c>
      <c r="D89" s="5" t="inlineStr"/>
      <c r="E89" s="17" t="inlineStr">
        <is>
          <t>text</t>
        </is>
      </c>
    </row>
    <row r="90">
      <c r="A90" s="14" t="inlineStr">
        <is>
          <t>Signage</t>
        </is>
      </c>
      <c r="B90" s="16" t="inlineStr">
        <is>
          <t>Fascia sign at the tenant's cost, to the center's sign criteria, with the landlord's approval</t>
        </is>
      </c>
      <c r="C90" s="16" t="inlineStr">
        <is>
          <t>§18</t>
        </is>
      </c>
      <c r="D90" s="5" t="inlineStr"/>
      <c r="E90" s="17" t="inlineStr">
        <is>
          <t>text</t>
        </is>
      </c>
    </row>
    <row r="91">
      <c r="A91" s="14" t="inlineStr">
        <is>
          <t>Default and cure</t>
        </is>
      </c>
      <c r="B91" s="16" t="inlineStr">
        <is>
          <t>Rent: 10 days after notice. Other covenants: 30 days after notice</t>
        </is>
      </c>
      <c r="C91" s="16" t="inlineStr">
        <is>
          <t>§19</t>
        </is>
      </c>
      <c r="D91" s="5" t="inlineStr"/>
      <c r="E91" s="17" t="inlineStr">
        <is>
          <t>text</t>
        </is>
      </c>
    </row>
    <row r="92">
      <c r="A92" s="14" t="inlineStr">
        <is>
          <t>Surrender</t>
        </is>
      </c>
      <c r="B92" s="16" t="inlineStr">
        <is>
          <t>Broom clean; trade fixtures removed; alterations restored where the landlord requires</t>
        </is>
      </c>
      <c r="C92" s="16" t="inlineStr">
        <is>
          <t>§24</t>
        </is>
      </c>
      <c r="D92" s="5" t="inlineStr"/>
      <c r="E92" s="17" t="inlineStr">
        <is>
          <t>text</t>
        </is>
      </c>
    </row>
    <row r="93">
      <c r="A93" s="13" t="inlineStr">
        <is>
          <t>14. Flagged for counsel</t>
        </is>
      </c>
    </row>
    <row r="94">
      <c r="A94" s="14" t="inlineStr">
        <is>
          <t>Flagged for counsel</t>
        </is>
      </c>
      <c r="B94" s="16" t="inlineStr">
        <is>
          <t>§20.2 defines fair market rent but not how a disagreement over it is settled. Ask counsel before the renewal decision.</t>
        </is>
      </c>
      <c r="C94" s="16" t="inlineStr">
        <is>
          <t>§20.2</t>
        </is>
      </c>
      <c r="D94" s="5" t="inlineStr">
        <is>
          <t>Ambiguous clauses, with their section. The abstract keeps the lease's words.</t>
        </is>
      </c>
      <c r="E94" s="17" t="inlineStr">
        <is>
          <t>text</t>
        </is>
      </c>
    </row>
    <row r="96">
      <c r="A96" s="31" t="inlineStr">
        <is>
          <t>Reminder lead times (days before the date)</t>
        </is>
      </c>
      <c r="D96" s="7" t="inlineStr">
        <is>
          <t>Defaults are the windows ChargeRecoveries' Today list uses; change them to yours.</t>
        </is>
      </c>
    </row>
    <row r="97">
      <c r="A97" s="19" t="inlineStr">
        <is>
          <t>Rent change</t>
        </is>
      </c>
      <c r="B97" s="32" t="n">
        <v>60</v>
      </c>
      <c r="E97" s="17" t="inlineStr">
        <is>
          <t>days</t>
        </is>
      </c>
      <c r="F97" s="18">
        <f>IF(AND(B97&lt;&gt;"",NOT(ISNUMBER(B97))),1,0)</f>
        <v>0</v>
      </c>
    </row>
    <row r="98">
      <c r="A98" s="19" t="inlineStr">
        <is>
          <t>Option notice deadline</t>
        </is>
      </c>
      <c r="B98" s="32" t="n">
        <v>90</v>
      </c>
      <c r="E98" s="17" t="inlineStr">
        <is>
          <t>days</t>
        </is>
      </c>
      <c r="F98" s="18">
        <f>IF(AND(B98&lt;&gt;"",NOT(ISNUMBER(B98))),1,0)</f>
        <v>0</v>
      </c>
    </row>
    <row r="99">
      <c r="A99" s="19" t="inlineStr">
        <is>
          <t>Expiration</t>
        </is>
      </c>
      <c r="B99" s="32" t="n">
        <v>180</v>
      </c>
      <c r="E99" s="17" t="inlineStr">
        <is>
          <t>days</t>
        </is>
      </c>
      <c r="F99" s="18">
        <f>IF(AND(B99&lt;&gt;"",NOT(ISNUMBER(B99))),1,0)</f>
        <v>0</v>
      </c>
    </row>
    <row r="100">
      <c r="A100" s="19" t="inlineStr">
        <is>
          <t>Certificate or letter of credit expiry</t>
        </is>
      </c>
      <c r="B100" s="32" t="n">
        <v>30</v>
      </c>
      <c r="E100" s="17" t="inlineStr">
        <is>
          <t>days</t>
        </is>
      </c>
      <c r="F100" s="18">
        <f>IF(AND(B100&lt;&gt;"",NOT(ISNUMBER(B100))),1,0)</f>
        <v>0</v>
      </c>
    </row>
    <row r="102">
      <c r="A102" s="31" t="inlineStr">
        <is>
          <t>The checks</t>
        </is>
      </c>
    </row>
    <row r="103">
      <c r="A103" s="14" t="inlineStr">
        <is>
          <t>As-of date entered as a date</t>
        </is>
      </c>
      <c r="B103" s="33" t="str">
        <f>IFERROR(IF(ISNUMBER(B4),"✓","✗"),"✗")</f>
        <v>✓</v>
      </c>
      <c r="D103" s="5" t="inlineStr">
        <is>
          <t>Type a date in B4, or =TODAY().</t>
        </is>
      </c>
    </row>
    <row r="104">
      <c r="A104" s="14" t="inlineStr">
        <is>
          <t>Commencement and expiration entered as dates, rent commencement blank or a date, in order</t>
        </is>
      </c>
      <c r="B104" s="33" t="str">
        <f>IFERROR(IF(AND(ISNUMBER(B27),ISNUMBER(B29),OR(B28="",ISNUMBER(B28)),B27&lt;='Rent schedule'!$B$3,'Rent schedule'!$B$3&lt;=B29),"✓","✗"),"✗")</f>
        <v>✓</v>
      </c>
      <c r="D104" s="5" t="inlineStr">
        <is>
          <t>Commencement on or before rent commencement, on or before expiration.</t>
        </is>
      </c>
    </row>
    <row r="105">
      <c r="A105" s="14" t="inlineStr">
        <is>
          <t>Rentable area entered as a number above zero</t>
        </is>
      </c>
      <c r="B105" s="33" t="str">
        <f>IFERROR(IF(AND(ISNUMBER(B21),B21&gt;0),"✓","✗"),"✗")</f>
        <v>✓</v>
      </c>
      <c r="D105" s="5" t="inlineStr">
        <is>
          <t>Row 21.</t>
        </is>
      </c>
    </row>
    <row r="106">
      <c r="A106" s="14" t="inlineStr">
        <is>
          <t>Base rent entered: a rate or a monthly amount, and if both, they agree to the cent</t>
        </is>
      </c>
      <c r="B106" s="33" t="str">
        <f>IFERROR(IF(AND(ISNUMBER(B36),OR(B34="",B35="",ABS(ROUND(B21*B34/12,2)-B35)&lt;0.005)),"✓","✗"),"✗")</f>
        <v>✓</v>
      </c>
      <c r="D106" s="5" t="inlineStr">
        <is>
          <t>Rows 34 and 35.</t>
        </is>
      </c>
    </row>
    <row r="107">
      <c r="A107" s="14" t="inlineStr">
        <is>
          <t>Escalation complete for its method</t>
        </is>
      </c>
      <c r="B107" s="33" t="str">
        <f>IFERROR(IF(AND(OR(B37="None",B37="Percentage, compounding",B37="Percentage, simple",B37="Fixed steps",B37="Index (typed each year)"),OR(AND(B37&lt;&gt;"Percentage, compounding",B37&lt;&gt;"Percentage, simple"),ISNUMBER(B38)),SUM('Rent schedule'!$M$6:$M$25)=0),"✓","✗"),"✗")</f>
        <v>✓</v>
      </c>
      <c r="D107" s="5" t="inlineStr">
        <is>
          <t>A method from the list; a percentage for the two percentage methods; every typed step on the Rent schedule (column M).</t>
        </is>
      </c>
    </row>
    <row r="108">
      <c r="A108" s="14" t="inlineStr">
        <is>
          <t>The rent schedule runs to the expiration date, in 20 lease years or fewer</t>
        </is>
      </c>
      <c r="B108" s="33" t="str">
        <f>IFERROR(IF(AND(ISNUMBER(B29),'Rent schedule'!$B$28=B29),"✓","✗"),"✗")</f>
        <v>✓</v>
      </c>
      <c r="D108" s="5" t="inlineStr">
        <is>
          <t>A term past twenty lease years, or dates the schedule cannot read.</t>
        </is>
      </c>
    </row>
    <row r="109">
      <c r="A109" s="14" t="inlineStr">
        <is>
          <t>Share: denominator at least the area; stated share between 0% and 100%</t>
        </is>
      </c>
      <c r="B109" s="33" t="str">
        <f>IFERROR(IF(AND(OR(B23="",AND(ISNUMBER(B23),B23&gt;=B21)),OR(B24="",AND(ISNUMBER(B24),B24&gt;0,B24&lt;=1))),"✓","✗"),"✗")</f>
        <v>✓</v>
      </c>
      <c r="D109" s="5" t="inlineStr">
        <is>
          <t>Rows 23 and 24.</t>
        </is>
      </c>
    </row>
    <row r="110">
      <c r="A110" s="14" t="inlineStr">
        <is>
          <t>Each option has a notice period and a unit, and its deadline falls within the lease</t>
        </is>
      </c>
      <c r="B110" s="33" t="str">
        <f>IFERROR(IF(SUM(Options!$P$6:$P$8)=0,"✓","✗"),"✗")</f>
        <v>✓</v>
      </c>
      <c r="D110" s="5" t="inlineStr">
        <is>
          <t>Options, column P marks the row.</t>
        </is>
      </c>
    </row>
    <row r="111">
      <c r="A111" s="14" t="inlineStr">
        <is>
          <t>Every date and number is typed as one</t>
        </is>
      </c>
      <c r="B111" s="33" t="str">
        <f>IFERROR(IF(SUM(F10:F100)+SUM('Rent schedule'!$N$6:$N$25)+SUM(Options!$R$6:$R$8)=0,"✓","✗"),"✗")</f>
        <v>✓</v>
      </c>
      <c r="D111" s="5" t="inlineStr">
        <is>
          <t>Column F here, column N on the Rent schedule, column R on Options: a value read as text.</t>
        </is>
      </c>
    </row>
    <row r="112">
      <c r="A112" s="14" t="inlineStr">
        <is>
          <t>The calendar lists every date the abstract produces</t>
        </is>
      </c>
      <c r="B112" s="33" t="str">
        <f>IFERROR(IF(COUNT('Critical dates'!$B$6:$B$65)=IF(ISNUMBER(B27),1,0)+IF(AND(ISNUMBER(B28),B28&lt;&gt;B27),1,0)+COUNT('Rent schedule'!$B$7:$B$25)+COUNT(Options!$J$6:$J$8)+COUNT(Options!$K$6:$K$8)+IF(ISNUMBER(B29),1,0)+IF(AND(ISNUMBER(B29),ISNUMBER(B31)),1,0)+IF(AND(ISNUMBER(B27),ISNUMBER(B29),ISNUMBER(B58)),MAX(0,MIN(21,YEAR(B29)-YEAR(B27)+1)),0)+IF(ISNUMBER(B73),1,0)+IF(ISNUMBER(B63),1,0),"✓","✗"),"✗")</f>
        <v>✓</v>
      </c>
      <c r="D112" s="5" t="inlineStr">
        <is>
          <t>Two roads: the dates the inputs produce, counted here, and the sorted calendar.</t>
        </is>
      </c>
    </row>
    <row r="113">
      <c r="A113" s="8" t="inlineStr">
        <is>
          <t>Checks that fail</t>
        </is>
      </c>
      <c r="B113" s="34">
        <f>10-COUNTIF(B103:B112,"✓")</f>
        <v>0</v>
      </c>
    </row>
    <row r="114">
      <c r="A114" s="31" t="inlineStr">
        <is>
          <t>Flags: worth a look, never a failed check</t>
        </is>
      </c>
    </row>
    <row r="115">
      <c r="A115" s="14" t="inlineStr">
        <is>
          <t>Stated share and area ÷ denominator differ</t>
        </is>
      </c>
      <c r="B115" s="33" t="str">
        <f>IFERROR(IF(AND(ISNUMBER(B24),ISNUMBER(B25),ABS(B24-B25)&gt;=0.000005),"⚠",""),"")</f>
        <v/>
      </c>
      <c r="D115" s="7" t="inlineStr">
        <is>
          <t>The stated share and area ÷ denominator differ: note which one the lease uses.</t>
        </is>
      </c>
    </row>
    <row r="116">
      <c r="A116" s="14" t="inlineStr">
        <is>
          <t>A lease year ends mid-month</t>
        </is>
      </c>
      <c r="B116" s="33" t="str">
        <f>IFERROR(IF('Rent schedule'!$B$30&gt;0,"⚠",""),"")</f>
        <v/>
      </c>
      <c r="D116" s="7" t="inlineStr">
        <is>
          <t>Its period rent is left blank: prorate it as the lease says.</t>
        </is>
      </c>
    </row>
    <row r="117">
      <c r="A117" s="14" t="inlineStr">
        <is>
          <t>Index escalation</t>
        </is>
      </c>
      <c r="B117" s="33" t="str">
        <f>IFERROR(IF(B37="Index (typed each year)","⚠",""),"")</f>
        <v/>
      </c>
      <c r="D117" s="7" t="inlineStr">
        <is>
          <t>Index increases are typed in column D of the Rent schedule, not computed.</t>
        </is>
      </c>
    </row>
    <row r="118">
      <c r="A118" s="14" t="inlineStr">
        <is>
          <t>Certificate of insurance expired on the as-of date</t>
        </is>
      </c>
      <c r="B118" s="33" t="str">
        <f>IFERROR(IF(AND(ISNUMBER(B73),ISNUMBER(B4),B73&lt;B4),"⚠",""),"")</f>
        <v/>
      </c>
      <c r="D118" s="7" t="inlineStr">
        <is>
          <t>Ask the tenant for a current certificate.</t>
        </is>
      </c>
    </row>
    <row r="119">
      <c r="A119" s="8" t="inlineStr">
        <is>
          <t>Flags raised</t>
        </is>
      </c>
      <c r="B119" s="34">
        <f>COUNTIF(B115:B118,"⚠")</f>
        <v>0</v>
      </c>
    </row>
    <row r="121">
      <c r="A121" s="35" t="inlineStr">
        <is>
          <t>This abstract summarizes the lease and is not legal advice. Where the abstract and the lease differ, the lease and its amendments govern.</t>
        </is>
      </c>
    </row>
  </sheetData>
  <mergeCells count="2">
    <mergeCell ref="B6:D6"/>
    <mergeCell ref="B5:D5"/>
  </mergeCells>
  <conditionalFormatting sqref="B5:D5">
    <cfRule type="expression" priority="1" dxfId="0" stopIfTrue="1">
      <formula>$B$113&gt;0</formula>
    </cfRule>
  </conditionalFormatting>
  <dataValidations count="1">
    <dataValidation sqref="B37" showDropDown="0" showInputMessage="0" showErrorMessage="1" allowBlank="1" errorTitle="Escalation method" error="Pick a method from the list." type="list">
      <formula1>$H$10:$H$14</formula1>
    </dataValidation>
  </dataValidations>
  <pageMargins left="0.75" right="0.75" top="1" bottom="1" header="0.5" footer="0.5"/>
  <pageSetup orientation="portrait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6" customWidth="1" min="4" max="4"/>
    <col width="14" customWidth="1" min="5" max="5"/>
    <col width="14" customWidth="1" min="6" max="6"/>
    <col width="12" customWidth="1" min="7" max="7"/>
    <col width="9" customWidth="1" min="8" max="8"/>
    <col width="10" customWidth="1" min="9" max="9"/>
    <col width="15" customWidth="1" min="10" max="10"/>
    <col width="11" customWidth="1" min="11" max="11"/>
    <col width="12" customWidth="1" min="12" max="12"/>
    <col width="11" customWidth="1" min="13" max="13"/>
    <col width="11" customWidth="1" min="14" max="14"/>
  </cols>
  <sheetData>
    <row r="1">
      <c r="A1" s="6" t="inlineStr">
        <is>
          <t>Rent schedule</t>
        </is>
      </c>
    </row>
    <row r="2">
      <c r="A2" s="7" t="inlineStr">
        <is>
          <t>Lease years from each anniversary of rent commencement, to the expiration date. Yellow cells are yours; the rest is computed.</t>
        </is>
      </c>
    </row>
    <row r="3">
      <c r="A3" s="8" t="inlineStr">
        <is>
          <t>Rent commencement used</t>
        </is>
      </c>
      <c r="B3" s="28">
        <f>IF(ISNUMBER(Abstract!$B$28),Abstract!$B$28,IF(ISNUMBER(Abstract!$B$27),Abstract!$B$27,""))</f>
        <v>45717</v>
      </c>
    </row>
    <row r="5" ht="56" customHeight="1">
      <c r="A5" s="11" t="inlineStr">
        <is>
          <t>Lease year</t>
        </is>
      </c>
      <c r="B5" s="11" t="inlineStr">
        <is>
          <t>From</t>
        </is>
      </c>
      <c r="C5" s="11" t="inlineStr">
        <is>
          <t>To</t>
        </is>
      </c>
      <c r="D5" s="11" t="inlineStr">
        <is>
          <t>Monthly base rent, if typed (fixed steps or index)</t>
        </is>
      </c>
      <c r="E5" s="11" t="inlineStr">
        <is>
          <t>Monthly base rent</t>
        </is>
      </c>
      <c r="F5" s="11" t="inlineStr">
        <is>
          <t>Annual base rent</t>
        </is>
      </c>
      <c r="G5" s="11" t="inlineStr">
        <is>
          <t>$ per sq ft per year</t>
        </is>
      </c>
      <c r="H5" s="11" t="inlineStr">
        <is>
          <t>Months</t>
        </is>
      </c>
      <c r="I5" s="11" t="inlineStr">
        <is>
          <t>Partial (1/0)</t>
        </is>
      </c>
      <c r="J5" s="11" t="inlineStr">
        <is>
          <t>Rent for the period</t>
        </is>
      </c>
      <c r="K5" s="11" t="inlineStr">
        <is>
          <t>In force on the as-of date (1/0)</t>
        </is>
      </c>
      <c r="L5" s="11" t="inlineStr">
        <is>
          <t>Raise on</t>
        </is>
      </c>
      <c r="M5" s="11" t="inlineStr">
        <is>
          <t>Missing amount (1/0)</t>
        </is>
      </c>
      <c r="N5" s="11" t="inlineStr">
        <is>
          <t>Step typed as text (1/0)</t>
        </is>
      </c>
    </row>
    <row r="6">
      <c r="A6" s="18">
        <f>ROW()-ROW($A$5)</f>
        <v>1</v>
      </c>
      <c r="B6" s="36">
        <f>IF(OR(NOT(ISNUMBER($B$3)),NOT(ISNUMBER(Abstract!$B$29))),"",IF(MIN(DATE(YEAR($B$3),MONTH($B$3)+(12*(A6-1)),DAY($B$3)),EOMONTH(DATE(YEAR($B$3),MONTH($B$3)+(12*(A6-1)),1),0))&gt;Abstract!$B$29,"",MIN(DATE(YEAR($B$3),MONTH($B$3)+(12*(A6-1)),DAY($B$3)),EOMONTH(DATE(YEAR($B$3),MONTH($B$3)+(12*(A6-1)),1),0))))</f>
        <v>45717</v>
      </c>
      <c r="C6" s="36">
        <f>IF(B6="","",MIN(MIN(DATE(YEAR($B$3),MONTH($B$3)+(12*A6),DAY($B$3)),EOMONTH(DATE(YEAR($B$3),MONTH($B$3)+(12*A6),1),0))-1,Abstract!$B$29))</f>
        <v>46081</v>
      </c>
      <c r="D6" s="37" t="n"/>
      <c r="E6" s="25">
        <f>IF(B6="","",IF(A6=1,Abstract!$B$36,IF(Abstract!$B$37="Percentage, compounding",ROUND(E5*(1+Abstract!$B$38),2),IF(Abstract!$B$37="Percentage, simple",ROUND(Abstract!$B$36*(1+Abstract!$B$38*(A6-1)),2),IF(Abstract!$B$37="None",Abstract!$B$36,IF(ISNUMBER(D6),D6,""))))))</f>
        <v>6000</v>
      </c>
      <c r="F6" s="25">
        <f>IF(E6="","",E6*12)</f>
        <v>72000</v>
      </c>
      <c r="G6" s="25">
        <f>IF(E6="","",IF(NOT(ISNUMBER(Abstract!$B$21)),"",IF(Abstract!$B$21&lt;=0,"",ROUND(E6*12/Abstract!$B$21,2))))</f>
        <v>30</v>
      </c>
      <c r="H6" s="18">
        <f>IF(B6="","",(YEAR(C6+1)-YEAR(B6))*12+MONTH(C6+1)-MONTH(B6))</f>
        <v>12</v>
      </c>
      <c r="I6" s="18">
        <f>IF(B6="",0,IF(MIN(DATE(YEAR(B6),MONTH(B6)+(H6),DAY(B6)),EOMONTH(DATE(YEAR(B6),MONTH(B6)+(H6),1),0))=C6+1,0,1))</f>
        <v>0</v>
      </c>
      <c r="J6" s="25">
        <f>IF(OR(E6="",I6=1),"",E6*H6)</f>
        <v>72000</v>
      </c>
      <c r="K6" s="18">
        <f>IF(OR(B6="",NOT(ISNUMBER(Abstract!$B$4))),0,IF(AND(B6&lt;=Abstract!$B$4,Abstract!$B$4&lt;=C6),1,0))</f>
        <v>0</v>
      </c>
      <c r="L6" s="36" t="str">
        <f>IF(OR(B6="",A6=1),"",B6-Abstract!$B$97)</f>
        <v/>
      </c>
      <c r="M6" s="18">
        <f>IF(AND(B6&lt;&gt;"",NOT(ISNUMBER(E6))),1,0)</f>
        <v>0</v>
      </c>
      <c r="N6" s="18">
        <f>IF(AND(D6&lt;&gt;"",NOT(ISNUMBER(D6))),1,0)</f>
        <v>0</v>
      </c>
    </row>
    <row r="7">
      <c r="A7" s="18">
        <f>ROW()-ROW($A$5)</f>
        <v>2</v>
      </c>
      <c r="B7" s="36">
        <f>IF(OR(NOT(ISNUMBER($B$3)),NOT(ISNUMBER(Abstract!$B$29))),"",IF(MIN(DATE(YEAR($B$3),MONTH($B$3)+(12*(A7-1)),DAY($B$3)),EOMONTH(DATE(YEAR($B$3),MONTH($B$3)+(12*(A7-1)),1),0))&gt;Abstract!$B$29,"",MIN(DATE(YEAR($B$3),MONTH($B$3)+(12*(A7-1)),DAY($B$3)),EOMONTH(DATE(YEAR($B$3),MONTH($B$3)+(12*(A7-1)),1),0))))</f>
        <v>46082</v>
      </c>
      <c r="C7" s="36">
        <f>IF(B7="","",MIN(MIN(DATE(YEAR($B$3),MONTH($B$3)+(12*A7),DAY($B$3)),EOMONTH(DATE(YEAR($B$3),MONTH($B$3)+(12*A7),1),0))-1,Abstract!$B$29))</f>
        <v>46446</v>
      </c>
      <c r="D7" s="38" t="n"/>
      <c r="E7" s="25">
        <f>IF(B7="","",IF(A7=1,Abstract!$B$36,IF(Abstract!$B$37="Percentage, compounding",ROUND(E6*(1+Abstract!$B$38),2),IF(Abstract!$B$37="Percentage, simple",ROUND(Abstract!$B$36*(1+Abstract!$B$38*(A7-1)),2),IF(Abstract!$B$37="None",Abstract!$B$36,IF(ISNUMBER(D7),D7,""))))))</f>
        <v>6180</v>
      </c>
      <c r="F7" s="25">
        <f>IF(E7="","",E7*12)</f>
        <v>74160</v>
      </c>
      <c r="G7" s="25">
        <f>IF(E7="","",IF(NOT(ISNUMBER(Abstract!$B$21)),"",IF(Abstract!$B$21&lt;=0,"",ROUND(E7*12/Abstract!$B$21,2))))</f>
        <v>30.9</v>
      </c>
      <c r="H7" s="18">
        <f>IF(B7="","",(YEAR(C7+1)-YEAR(B7))*12+MONTH(C7+1)-MONTH(B7))</f>
        <v>12</v>
      </c>
      <c r="I7" s="18">
        <f>IF(B7="",0,IF(MIN(DATE(YEAR(B7),MONTH(B7)+(H7),DAY(B7)),EOMONTH(DATE(YEAR(B7),MONTH(B7)+(H7),1),0))=C7+1,0,1))</f>
        <v>0</v>
      </c>
      <c r="J7" s="25">
        <f>IF(OR(E7="",I7=1),"",E7*H7)</f>
        <v>74160</v>
      </c>
      <c r="K7" s="18">
        <f>IF(OR(B7="",NOT(ISNUMBER(Abstract!$B$4))),0,IF(AND(B7&lt;=Abstract!$B$4,Abstract!$B$4&lt;=C7),1,0))</f>
        <v>1</v>
      </c>
      <c r="L7" s="36">
        <f>IF(OR(B7="",A7=1),"",B7-Abstract!$B$97)</f>
        <v>46022</v>
      </c>
      <c r="M7" s="18">
        <f>IF(AND(B7&lt;&gt;"",NOT(ISNUMBER(E7))),1,0)</f>
        <v>0</v>
      </c>
      <c r="N7" s="18">
        <f>IF(AND(D7&lt;&gt;"",NOT(ISNUMBER(D7))),1,0)</f>
        <v>0</v>
      </c>
    </row>
    <row r="8">
      <c r="A8" s="18">
        <f>ROW()-ROW($A$5)</f>
        <v>3</v>
      </c>
      <c r="B8" s="36">
        <f>IF(OR(NOT(ISNUMBER($B$3)),NOT(ISNUMBER(Abstract!$B$29))),"",IF(MIN(DATE(YEAR($B$3),MONTH($B$3)+(12*(A8-1)),DAY($B$3)),EOMONTH(DATE(YEAR($B$3),MONTH($B$3)+(12*(A8-1)),1),0))&gt;Abstract!$B$29,"",MIN(DATE(YEAR($B$3),MONTH($B$3)+(12*(A8-1)),DAY($B$3)),EOMONTH(DATE(YEAR($B$3),MONTH($B$3)+(12*(A8-1)),1),0))))</f>
        <v>46447</v>
      </c>
      <c r="C8" s="36">
        <f>IF(B8="","",MIN(MIN(DATE(YEAR($B$3),MONTH($B$3)+(12*A8),DAY($B$3)),EOMONTH(DATE(YEAR($B$3),MONTH($B$3)+(12*A8),1),0))-1,Abstract!$B$29))</f>
        <v>46812</v>
      </c>
      <c r="D8" s="38" t="n"/>
      <c r="E8" s="25">
        <f>IF(B8="","",IF(A8=1,Abstract!$B$36,IF(Abstract!$B$37="Percentage, compounding",ROUND(E7*(1+Abstract!$B$38),2),IF(Abstract!$B$37="Percentage, simple",ROUND(Abstract!$B$36*(1+Abstract!$B$38*(A8-1)),2),IF(Abstract!$B$37="None",Abstract!$B$36,IF(ISNUMBER(D8),D8,""))))))</f>
        <v>6365.4</v>
      </c>
      <c r="F8" s="25">
        <f>IF(E8="","",E8*12)</f>
        <v>76384.8</v>
      </c>
      <c r="G8" s="25">
        <f>IF(E8="","",IF(NOT(ISNUMBER(Abstract!$B$21)),"",IF(Abstract!$B$21&lt;=0,"",ROUND(E8*12/Abstract!$B$21,2))))</f>
        <v>31.83</v>
      </c>
      <c r="H8" s="18">
        <f>IF(B8="","",(YEAR(C8+1)-YEAR(B8))*12+MONTH(C8+1)-MONTH(B8))</f>
        <v>12</v>
      </c>
      <c r="I8" s="18">
        <f>IF(B8="",0,IF(MIN(DATE(YEAR(B8),MONTH(B8)+(H8),DAY(B8)),EOMONTH(DATE(YEAR(B8),MONTH(B8)+(H8),1),0))=C8+1,0,1))</f>
        <v>0</v>
      </c>
      <c r="J8" s="25">
        <f>IF(OR(E8="",I8=1),"",E8*H8)</f>
        <v>76384.8</v>
      </c>
      <c r="K8" s="18">
        <f>IF(OR(B8="",NOT(ISNUMBER(Abstract!$B$4))),0,IF(AND(B8&lt;=Abstract!$B$4,Abstract!$B$4&lt;=C8),1,0))</f>
        <v>0</v>
      </c>
      <c r="L8" s="36">
        <f>IF(OR(B8="",A8=1),"",B8-Abstract!$B$97)</f>
        <v>46387</v>
      </c>
      <c r="M8" s="18">
        <f>IF(AND(B8&lt;&gt;"",NOT(ISNUMBER(E8))),1,0)</f>
        <v>0</v>
      </c>
      <c r="N8" s="18">
        <f>IF(AND(D8&lt;&gt;"",NOT(ISNUMBER(D8))),1,0)</f>
        <v>0</v>
      </c>
    </row>
    <row r="9">
      <c r="A9" s="18">
        <f>ROW()-ROW($A$5)</f>
        <v>4</v>
      </c>
      <c r="B9" s="36">
        <f>IF(OR(NOT(ISNUMBER($B$3)),NOT(ISNUMBER(Abstract!$B$29))),"",IF(MIN(DATE(YEAR($B$3),MONTH($B$3)+(12*(A9-1)),DAY($B$3)),EOMONTH(DATE(YEAR($B$3),MONTH($B$3)+(12*(A9-1)),1),0))&gt;Abstract!$B$29,"",MIN(DATE(YEAR($B$3),MONTH($B$3)+(12*(A9-1)),DAY($B$3)),EOMONTH(DATE(YEAR($B$3),MONTH($B$3)+(12*(A9-1)),1),0))))</f>
        <v>46813</v>
      </c>
      <c r="C9" s="36">
        <f>IF(B9="","",MIN(MIN(DATE(YEAR($B$3),MONTH($B$3)+(12*A9),DAY($B$3)),EOMONTH(DATE(YEAR($B$3),MONTH($B$3)+(12*A9),1),0))-1,Abstract!$B$29))</f>
        <v>47118</v>
      </c>
      <c r="D9" s="38" t="n"/>
      <c r="E9" s="25">
        <f>IF(B9="","",IF(A9=1,Abstract!$B$36,IF(Abstract!$B$37="Percentage, compounding",ROUND(E8*(1+Abstract!$B$38),2),IF(Abstract!$B$37="Percentage, simple",ROUND(Abstract!$B$36*(1+Abstract!$B$38*(A9-1)),2),IF(Abstract!$B$37="None",Abstract!$B$36,IF(ISNUMBER(D9),D9,""))))))</f>
        <v>6556.36</v>
      </c>
      <c r="F9" s="25">
        <f>IF(E9="","",E9*12)</f>
        <v>78676.32</v>
      </c>
      <c r="G9" s="25">
        <f>IF(E9="","",IF(NOT(ISNUMBER(Abstract!$B$21)),"",IF(Abstract!$B$21&lt;=0,"",ROUND(E9*12/Abstract!$B$21,2))))</f>
        <v>32.78</v>
      </c>
      <c r="H9" s="18">
        <f>IF(B9="","",(YEAR(C9+1)-YEAR(B9))*12+MONTH(C9+1)-MONTH(B9))</f>
        <v>10</v>
      </c>
      <c r="I9" s="18">
        <f>IF(B9="",0,IF(MIN(DATE(YEAR(B9),MONTH(B9)+(H9),DAY(B9)),EOMONTH(DATE(YEAR(B9),MONTH(B9)+(H9),1),0))=C9+1,0,1))</f>
        <v>0</v>
      </c>
      <c r="J9" s="25">
        <f>IF(OR(E9="",I9=1),"",E9*H9)</f>
        <v>65563.6</v>
      </c>
      <c r="K9" s="18">
        <f>IF(OR(B9="",NOT(ISNUMBER(Abstract!$B$4))),0,IF(AND(B9&lt;=Abstract!$B$4,Abstract!$B$4&lt;=C9),1,0))</f>
        <v>0</v>
      </c>
      <c r="L9" s="36">
        <f>IF(OR(B9="",A9=1),"",B9-Abstract!$B$97)</f>
        <v>46753</v>
      </c>
      <c r="M9" s="18">
        <f>IF(AND(B9&lt;&gt;"",NOT(ISNUMBER(E9))),1,0)</f>
        <v>0</v>
      </c>
      <c r="N9" s="18">
        <f>IF(AND(D9&lt;&gt;"",NOT(ISNUMBER(D9))),1,0)</f>
        <v>0</v>
      </c>
    </row>
    <row r="10">
      <c r="A10" s="18">
        <f>ROW()-ROW($A$5)</f>
        <v>5</v>
      </c>
      <c r="B10" s="36" t="str">
        <f>IF(OR(NOT(ISNUMBER($B$3)),NOT(ISNUMBER(Abstract!$B$29))),"",IF(MIN(DATE(YEAR($B$3),MONTH($B$3)+(12*(A10-1)),DAY($B$3)),EOMONTH(DATE(YEAR($B$3),MONTH($B$3)+(12*(A10-1)),1),0))&gt;Abstract!$B$29,"",MIN(DATE(YEAR($B$3),MONTH($B$3)+(12*(A10-1)),DAY($B$3)),EOMONTH(DATE(YEAR($B$3),MONTH($B$3)+(12*(A10-1)),1),0))))</f>
        <v/>
      </c>
      <c r="C10" s="36" t="str">
        <f>IF(B10="","",MIN(MIN(DATE(YEAR($B$3),MONTH($B$3)+(12*A10),DAY($B$3)),EOMONTH(DATE(YEAR($B$3),MONTH($B$3)+(12*A10),1),0))-1,Abstract!$B$29))</f>
        <v/>
      </c>
      <c r="D10" s="38" t="n"/>
      <c r="E10" s="25" t="str">
        <f>IF(B10="","",IF(A10=1,Abstract!$B$36,IF(Abstract!$B$37="Percentage, compounding",ROUND(E9*(1+Abstract!$B$38),2),IF(Abstract!$B$37="Percentage, simple",ROUND(Abstract!$B$36*(1+Abstract!$B$38*(A10-1)),2),IF(Abstract!$B$37="None",Abstract!$B$36,IF(ISNUMBER(D10),D10,""))))))</f>
        <v/>
      </c>
      <c r="F10" s="25" t="str">
        <f>IF(E10="","",E10*12)</f>
        <v/>
      </c>
      <c r="G10" s="25" t="str">
        <f>IF(E10="","",IF(NOT(ISNUMBER(Abstract!$B$21)),"",IF(Abstract!$B$21&lt;=0,"",ROUND(E10*12/Abstract!$B$21,2))))</f>
        <v/>
      </c>
      <c r="H10" s="18" t="str">
        <f>IF(B10="","",(YEAR(C10+1)-YEAR(B10))*12+MONTH(C10+1)-MONTH(B10))</f>
        <v/>
      </c>
      <c r="I10" s="18">
        <f>IF(B10="",0,IF(MIN(DATE(YEAR(B10),MONTH(B10)+(H10),DAY(B10)),EOMONTH(DATE(YEAR(B10),MONTH(B10)+(H10),1),0))=C10+1,0,1))</f>
        <v>0</v>
      </c>
      <c r="J10" s="25" t="str">
        <f>IF(OR(E10="",I10=1),"",E10*H10)</f>
        <v/>
      </c>
      <c r="K10" s="18">
        <f>IF(OR(B10="",NOT(ISNUMBER(Abstract!$B$4))),0,IF(AND(B10&lt;=Abstract!$B$4,Abstract!$B$4&lt;=C10),1,0))</f>
        <v>0</v>
      </c>
      <c r="L10" s="36" t="str">
        <f>IF(OR(B10="",A10=1),"",B10-Abstract!$B$97)</f>
        <v/>
      </c>
      <c r="M10" s="18">
        <f>IF(AND(B10&lt;&gt;"",NOT(ISNUMBER(E10))),1,0)</f>
        <v>0</v>
      </c>
      <c r="N10" s="18">
        <f>IF(AND(D10&lt;&gt;"",NOT(ISNUMBER(D10))),1,0)</f>
        <v>0</v>
      </c>
    </row>
    <row r="11">
      <c r="A11" s="18">
        <f>ROW()-ROW($A$5)</f>
        <v>6</v>
      </c>
      <c r="B11" s="36" t="str">
        <f>IF(OR(NOT(ISNUMBER($B$3)),NOT(ISNUMBER(Abstract!$B$29))),"",IF(MIN(DATE(YEAR($B$3),MONTH($B$3)+(12*(A11-1)),DAY($B$3)),EOMONTH(DATE(YEAR($B$3),MONTH($B$3)+(12*(A11-1)),1),0))&gt;Abstract!$B$29,"",MIN(DATE(YEAR($B$3),MONTH($B$3)+(12*(A11-1)),DAY($B$3)),EOMONTH(DATE(YEAR($B$3),MONTH($B$3)+(12*(A11-1)),1),0))))</f>
        <v/>
      </c>
      <c r="C11" s="36" t="str">
        <f>IF(B11="","",MIN(MIN(DATE(YEAR($B$3),MONTH($B$3)+(12*A11),DAY($B$3)),EOMONTH(DATE(YEAR($B$3),MONTH($B$3)+(12*A11),1),0))-1,Abstract!$B$29))</f>
        <v/>
      </c>
      <c r="D11" s="38" t="n"/>
      <c r="E11" s="25" t="str">
        <f>IF(B11="","",IF(A11=1,Abstract!$B$36,IF(Abstract!$B$37="Percentage, compounding",ROUND(E10*(1+Abstract!$B$38),2),IF(Abstract!$B$37="Percentage, simple",ROUND(Abstract!$B$36*(1+Abstract!$B$38*(A11-1)),2),IF(Abstract!$B$37="None",Abstract!$B$36,IF(ISNUMBER(D11),D11,""))))))</f>
        <v/>
      </c>
      <c r="F11" s="25" t="str">
        <f>IF(E11="","",E11*12)</f>
        <v/>
      </c>
      <c r="G11" s="25" t="str">
        <f>IF(E11="","",IF(NOT(ISNUMBER(Abstract!$B$21)),"",IF(Abstract!$B$21&lt;=0,"",ROUND(E11*12/Abstract!$B$21,2))))</f>
        <v/>
      </c>
      <c r="H11" s="18" t="str">
        <f>IF(B11="","",(YEAR(C11+1)-YEAR(B11))*12+MONTH(C11+1)-MONTH(B11))</f>
        <v/>
      </c>
      <c r="I11" s="18">
        <f>IF(B11="",0,IF(MIN(DATE(YEAR(B11),MONTH(B11)+(H11),DAY(B11)),EOMONTH(DATE(YEAR(B11),MONTH(B11)+(H11),1),0))=C11+1,0,1))</f>
        <v>0</v>
      </c>
      <c r="J11" s="25" t="str">
        <f>IF(OR(E11="",I11=1),"",E11*H11)</f>
        <v/>
      </c>
      <c r="K11" s="18">
        <f>IF(OR(B11="",NOT(ISNUMBER(Abstract!$B$4))),0,IF(AND(B11&lt;=Abstract!$B$4,Abstract!$B$4&lt;=C11),1,0))</f>
        <v>0</v>
      </c>
      <c r="L11" s="36" t="str">
        <f>IF(OR(B11="",A11=1),"",B11-Abstract!$B$97)</f>
        <v/>
      </c>
      <c r="M11" s="18">
        <f>IF(AND(B11&lt;&gt;"",NOT(ISNUMBER(E11))),1,0)</f>
        <v>0</v>
      </c>
      <c r="N11" s="18">
        <f>IF(AND(D11&lt;&gt;"",NOT(ISNUMBER(D11))),1,0)</f>
        <v>0</v>
      </c>
    </row>
    <row r="12">
      <c r="A12" s="18">
        <f>ROW()-ROW($A$5)</f>
        <v>7</v>
      </c>
      <c r="B12" s="36" t="str">
        <f>IF(OR(NOT(ISNUMBER($B$3)),NOT(ISNUMBER(Abstract!$B$29))),"",IF(MIN(DATE(YEAR($B$3),MONTH($B$3)+(12*(A12-1)),DAY($B$3)),EOMONTH(DATE(YEAR($B$3),MONTH($B$3)+(12*(A12-1)),1),0))&gt;Abstract!$B$29,"",MIN(DATE(YEAR($B$3),MONTH($B$3)+(12*(A12-1)),DAY($B$3)),EOMONTH(DATE(YEAR($B$3),MONTH($B$3)+(12*(A12-1)),1),0))))</f>
        <v/>
      </c>
      <c r="C12" s="36" t="str">
        <f>IF(B12="","",MIN(MIN(DATE(YEAR($B$3),MONTH($B$3)+(12*A12),DAY($B$3)),EOMONTH(DATE(YEAR($B$3),MONTH($B$3)+(12*A12),1),0))-1,Abstract!$B$29))</f>
        <v/>
      </c>
      <c r="D12" s="38" t="n"/>
      <c r="E12" s="25" t="str">
        <f>IF(B12="","",IF(A12=1,Abstract!$B$36,IF(Abstract!$B$37="Percentage, compounding",ROUND(E11*(1+Abstract!$B$38),2),IF(Abstract!$B$37="Percentage, simple",ROUND(Abstract!$B$36*(1+Abstract!$B$38*(A12-1)),2),IF(Abstract!$B$37="None",Abstract!$B$36,IF(ISNUMBER(D12),D12,""))))))</f>
        <v/>
      </c>
      <c r="F12" s="25" t="str">
        <f>IF(E12="","",E12*12)</f>
        <v/>
      </c>
      <c r="G12" s="25" t="str">
        <f>IF(E12="","",IF(NOT(ISNUMBER(Abstract!$B$21)),"",IF(Abstract!$B$21&lt;=0,"",ROUND(E12*12/Abstract!$B$21,2))))</f>
        <v/>
      </c>
      <c r="H12" s="18" t="str">
        <f>IF(B12="","",(YEAR(C12+1)-YEAR(B12))*12+MONTH(C12+1)-MONTH(B12))</f>
        <v/>
      </c>
      <c r="I12" s="18">
        <f>IF(B12="",0,IF(MIN(DATE(YEAR(B12),MONTH(B12)+(H12),DAY(B12)),EOMONTH(DATE(YEAR(B12),MONTH(B12)+(H12),1),0))=C12+1,0,1))</f>
        <v>0</v>
      </c>
      <c r="J12" s="25" t="str">
        <f>IF(OR(E12="",I12=1),"",E12*H12)</f>
        <v/>
      </c>
      <c r="K12" s="18">
        <f>IF(OR(B12="",NOT(ISNUMBER(Abstract!$B$4))),0,IF(AND(B12&lt;=Abstract!$B$4,Abstract!$B$4&lt;=C12),1,0))</f>
        <v>0</v>
      </c>
      <c r="L12" s="36" t="str">
        <f>IF(OR(B12="",A12=1),"",B12-Abstract!$B$97)</f>
        <v/>
      </c>
      <c r="M12" s="18">
        <f>IF(AND(B12&lt;&gt;"",NOT(ISNUMBER(E12))),1,0)</f>
        <v>0</v>
      </c>
      <c r="N12" s="18">
        <f>IF(AND(D12&lt;&gt;"",NOT(ISNUMBER(D12))),1,0)</f>
        <v>0</v>
      </c>
    </row>
    <row r="13">
      <c r="A13" s="18">
        <f>ROW()-ROW($A$5)</f>
        <v>8</v>
      </c>
      <c r="B13" s="36" t="str">
        <f>IF(OR(NOT(ISNUMBER($B$3)),NOT(ISNUMBER(Abstract!$B$29))),"",IF(MIN(DATE(YEAR($B$3),MONTH($B$3)+(12*(A13-1)),DAY($B$3)),EOMONTH(DATE(YEAR($B$3),MONTH($B$3)+(12*(A13-1)),1),0))&gt;Abstract!$B$29,"",MIN(DATE(YEAR($B$3),MONTH($B$3)+(12*(A13-1)),DAY($B$3)),EOMONTH(DATE(YEAR($B$3),MONTH($B$3)+(12*(A13-1)),1),0))))</f>
        <v/>
      </c>
      <c r="C13" s="36" t="str">
        <f>IF(B13="","",MIN(MIN(DATE(YEAR($B$3),MONTH($B$3)+(12*A13),DAY($B$3)),EOMONTH(DATE(YEAR($B$3),MONTH($B$3)+(12*A13),1),0))-1,Abstract!$B$29))</f>
        <v/>
      </c>
      <c r="D13" s="38" t="n"/>
      <c r="E13" s="25" t="str">
        <f>IF(B13="","",IF(A13=1,Abstract!$B$36,IF(Abstract!$B$37="Percentage, compounding",ROUND(E12*(1+Abstract!$B$38),2),IF(Abstract!$B$37="Percentage, simple",ROUND(Abstract!$B$36*(1+Abstract!$B$38*(A13-1)),2),IF(Abstract!$B$37="None",Abstract!$B$36,IF(ISNUMBER(D13),D13,""))))))</f>
        <v/>
      </c>
      <c r="F13" s="25" t="str">
        <f>IF(E13="","",E13*12)</f>
        <v/>
      </c>
      <c r="G13" s="25" t="str">
        <f>IF(E13="","",IF(NOT(ISNUMBER(Abstract!$B$21)),"",IF(Abstract!$B$21&lt;=0,"",ROUND(E13*12/Abstract!$B$21,2))))</f>
        <v/>
      </c>
      <c r="H13" s="18" t="str">
        <f>IF(B13="","",(YEAR(C13+1)-YEAR(B13))*12+MONTH(C13+1)-MONTH(B13))</f>
        <v/>
      </c>
      <c r="I13" s="18">
        <f>IF(B13="",0,IF(MIN(DATE(YEAR(B13),MONTH(B13)+(H13),DAY(B13)),EOMONTH(DATE(YEAR(B13),MONTH(B13)+(H13),1),0))=C13+1,0,1))</f>
        <v>0</v>
      </c>
      <c r="J13" s="25" t="str">
        <f>IF(OR(E13="",I13=1),"",E13*H13)</f>
        <v/>
      </c>
      <c r="K13" s="18">
        <f>IF(OR(B13="",NOT(ISNUMBER(Abstract!$B$4))),0,IF(AND(B13&lt;=Abstract!$B$4,Abstract!$B$4&lt;=C13),1,0))</f>
        <v>0</v>
      </c>
      <c r="L13" s="36" t="str">
        <f>IF(OR(B13="",A13=1),"",B13-Abstract!$B$97)</f>
        <v/>
      </c>
      <c r="M13" s="18">
        <f>IF(AND(B13&lt;&gt;"",NOT(ISNUMBER(E13))),1,0)</f>
        <v>0</v>
      </c>
      <c r="N13" s="18">
        <f>IF(AND(D13&lt;&gt;"",NOT(ISNUMBER(D13))),1,0)</f>
        <v>0</v>
      </c>
    </row>
    <row r="14">
      <c r="A14" s="18">
        <f>ROW()-ROW($A$5)</f>
        <v>9</v>
      </c>
      <c r="B14" s="36" t="str">
        <f>IF(OR(NOT(ISNUMBER($B$3)),NOT(ISNUMBER(Abstract!$B$29))),"",IF(MIN(DATE(YEAR($B$3),MONTH($B$3)+(12*(A14-1)),DAY($B$3)),EOMONTH(DATE(YEAR($B$3),MONTH($B$3)+(12*(A14-1)),1),0))&gt;Abstract!$B$29,"",MIN(DATE(YEAR($B$3),MONTH($B$3)+(12*(A14-1)),DAY($B$3)),EOMONTH(DATE(YEAR($B$3),MONTH($B$3)+(12*(A14-1)),1),0))))</f>
        <v/>
      </c>
      <c r="C14" s="36" t="str">
        <f>IF(B14="","",MIN(MIN(DATE(YEAR($B$3),MONTH($B$3)+(12*A14),DAY($B$3)),EOMONTH(DATE(YEAR($B$3),MONTH($B$3)+(12*A14),1),0))-1,Abstract!$B$29))</f>
        <v/>
      </c>
      <c r="D14" s="38" t="n"/>
      <c r="E14" s="25" t="str">
        <f>IF(B14="","",IF(A14=1,Abstract!$B$36,IF(Abstract!$B$37="Percentage, compounding",ROUND(E13*(1+Abstract!$B$38),2),IF(Abstract!$B$37="Percentage, simple",ROUND(Abstract!$B$36*(1+Abstract!$B$38*(A14-1)),2),IF(Abstract!$B$37="None",Abstract!$B$36,IF(ISNUMBER(D14),D14,""))))))</f>
        <v/>
      </c>
      <c r="F14" s="25" t="str">
        <f>IF(E14="","",E14*12)</f>
        <v/>
      </c>
      <c r="G14" s="25" t="str">
        <f>IF(E14="","",IF(NOT(ISNUMBER(Abstract!$B$21)),"",IF(Abstract!$B$21&lt;=0,"",ROUND(E14*12/Abstract!$B$21,2))))</f>
        <v/>
      </c>
      <c r="H14" s="18" t="str">
        <f>IF(B14="","",(YEAR(C14+1)-YEAR(B14))*12+MONTH(C14+1)-MONTH(B14))</f>
        <v/>
      </c>
      <c r="I14" s="18">
        <f>IF(B14="",0,IF(MIN(DATE(YEAR(B14),MONTH(B14)+(H14),DAY(B14)),EOMONTH(DATE(YEAR(B14),MONTH(B14)+(H14),1),0))=C14+1,0,1))</f>
        <v>0</v>
      </c>
      <c r="J14" s="25" t="str">
        <f>IF(OR(E14="",I14=1),"",E14*H14)</f>
        <v/>
      </c>
      <c r="K14" s="18">
        <f>IF(OR(B14="",NOT(ISNUMBER(Abstract!$B$4))),0,IF(AND(B14&lt;=Abstract!$B$4,Abstract!$B$4&lt;=C14),1,0))</f>
        <v>0</v>
      </c>
      <c r="L14" s="36" t="str">
        <f>IF(OR(B14="",A14=1),"",B14-Abstract!$B$97)</f>
        <v/>
      </c>
      <c r="M14" s="18">
        <f>IF(AND(B14&lt;&gt;"",NOT(ISNUMBER(E14))),1,0)</f>
        <v>0</v>
      </c>
      <c r="N14" s="18">
        <f>IF(AND(D14&lt;&gt;"",NOT(ISNUMBER(D14))),1,0)</f>
        <v>0</v>
      </c>
    </row>
    <row r="15">
      <c r="A15" s="18">
        <f>ROW()-ROW($A$5)</f>
        <v>10</v>
      </c>
      <c r="B15" s="36" t="str">
        <f>IF(OR(NOT(ISNUMBER($B$3)),NOT(ISNUMBER(Abstract!$B$29))),"",IF(MIN(DATE(YEAR($B$3),MONTH($B$3)+(12*(A15-1)),DAY($B$3)),EOMONTH(DATE(YEAR($B$3),MONTH($B$3)+(12*(A15-1)),1),0))&gt;Abstract!$B$29,"",MIN(DATE(YEAR($B$3),MONTH($B$3)+(12*(A15-1)),DAY($B$3)),EOMONTH(DATE(YEAR($B$3),MONTH($B$3)+(12*(A15-1)),1),0))))</f>
        <v/>
      </c>
      <c r="C15" s="36" t="str">
        <f>IF(B15="","",MIN(MIN(DATE(YEAR($B$3),MONTH($B$3)+(12*A15),DAY($B$3)),EOMONTH(DATE(YEAR($B$3),MONTH($B$3)+(12*A15),1),0))-1,Abstract!$B$29))</f>
        <v/>
      </c>
      <c r="D15" s="38" t="n"/>
      <c r="E15" s="25" t="str">
        <f>IF(B15="","",IF(A15=1,Abstract!$B$36,IF(Abstract!$B$37="Percentage, compounding",ROUND(E14*(1+Abstract!$B$38),2),IF(Abstract!$B$37="Percentage, simple",ROUND(Abstract!$B$36*(1+Abstract!$B$38*(A15-1)),2),IF(Abstract!$B$37="None",Abstract!$B$36,IF(ISNUMBER(D15),D15,""))))))</f>
        <v/>
      </c>
      <c r="F15" s="25" t="str">
        <f>IF(E15="","",E15*12)</f>
        <v/>
      </c>
      <c r="G15" s="25" t="str">
        <f>IF(E15="","",IF(NOT(ISNUMBER(Abstract!$B$21)),"",IF(Abstract!$B$21&lt;=0,"",ROUND(E15*12/Abstract!$B$21,2))))</f>
        <v/>
      </c>
      <c r="H15" s="18" t="str">
        <f>IF(B15="","",(YEAR(C15+1)-YEAR(B15))*12+MONTH(C15+1)-MONTH(B15))</f>
        <v/>
      </c>
      <c r="I15" s="18">
        <f>IF(B15="",0,IF(MIN(DATE(YEAR(B15),MONTH(B15)+(H15),DAY(B15)),EOMONTH(DATE(YEAR(B15),MONTH(B15)+(H15),1),0))=C15+1,0,1))</f>
        <v>0</v>
      </c>
      <c r="J15" s="25" t="str">
        <f>IF(OR(E15="",I15=1),"",E15*H15)</f>
        <v/>
      </c>
      <c r="K15" s="18">
        <f>IF(OR(B15="",NOT(ISNUMBER(Abstract!$B$4))),0,IF(AND(B15&lt;=Abstract!$B$4,Abstract!$B$4&lt;=C15),1,0))</f>
        <v>0</v>
      </c>
      <c r="L15" s="36" t="str">
        <f>IF(OR(B15="",A15=1),"",B15-Abstract!$B$97)</f>
        <v/>
      </c>
      <c r="M15" s="18">
        <f>IF(AND(B15&lt;&gt;"",NOT(ISNUMBER(E15))),1,0)</f>
        <v>0</v>
      </c>
      <c r="N15" s="18">
        <f>IF(AND(D15&lt;&gt;"",NOT(ISNUMBER(D15))),1,0)</f>
        <v>0</v>
      </c>
    </row>
    <row r="16">
      <c r="A16" s="18">
        <f>ROW()-ROW($A$5)</f>
        <v>11</v>
      </c>
      <c r="B16" s="36" t="str">
        <f>IF(OR(NOT(ISNUMBER($B$3)),NOT(ISNUMBER(Abstract!$B$29))),"",IF(MIN(DATE(YEAR($B$3),MONTH($B$3)+(12*(A16-1)),DAY($B$3)),EOMONTH(DATE(YEAR($B$3),MONTH($B$3)+(12*(A16-1)),1),0))&gt;Abstract!$B$29,"",MIN(DATE(YEAR($B$3),MONTH($B$3)+(12*(A16-1)),DAY($B$3)),EOMONTH(DATE(YEAR($B$3),MONTH($B$3)+(12*(A16-1)),1),0))))</f>
        <v/>
      </c>
      <c r="C16" s="36" t="str">
        <f>IF(B16="","",MIN(MIN(DATE(YEAR($B$3),MONTH($B$3)+(12*A16),DAY($B$3)),EOMONTH(DATE(YEAR($B$3),MONTH($B$3)+(12*A16),1),0))-1,Abstract!$B$29))</f>
        <v/>
      </c>
      <c r="D16" s="38" t="n"/>
      <c r="E16" s="25" t="str">
        <f>IF(B16="","",IF(A16=1,Abstract!$B$36,IF(Abstract!$B$37="Percentage, compounding",ROUND(E15*(1+Abstract!$B$38),2),IF(Abstract!$B$37="Percentage, simple",ROUND(Abstract!$B$36*(1+Abstract!$B$38*(A16-1)),2),IF(Abstract!$B$37="None",Abstract!$B$36,IF(ISNUMBER(D16),D16,""))))))</f>
        <v/>
      </c>
      <c r="F16" s="25" t="str">
        <f>IF(E16="","",E16*12)</f>
        <v/>
      </c>
      <c r="G16" s="25" t="str">
        <f>IF(E16="","",IF(NOT(ISNUMBER(Abstract!$B$21)),"",IF(Abstract!$B$21&lt;=0,"",ROUND(E16*12/Abstract!$B$21,2))))</f>
        <v/>
      </c>
      <c r="H16" s="18" t="str">
        <f>IF(B16="","",(YEAR(C16+1)-YEAR(B16))*12+MONTH(C16+1)-MONTH(B16))</f>
        <v/>
      </c>
      <c r="I16" s="18">
        <f>IF(B16="",0,IF(MIN(DATE(YEAR(B16),MONTH(B16)+(H16),DAY(B16)),EOMONTH(DATE(YEAR(B16),MONTH(B16)+(H16),1),0))=C16+1,0,1))</f>
        <v>0</v>
      </c>
      <c r="J16" s="25" t="str">
        <f>IF(OR(E16="",I16=1),"",E16*H16)</f>
        <v/>
      </c>
      <c r="K16" s="18">
        <f>IF(OR(B16="",NOT(ISNUMBER(Abstract!$B$4))),0,IF(AND(B16&lt;=Abstract!$B$4,Abstract!$B$4&lt;=C16),1,0))</f>
        <v>0</v>
      </c>
      <c r="L16" s="36" t="str">
        <f>IF(OR(B16="",A16=1),"",B16-Abstract!$B$97)</f>
        <v/>
      </c>
      <c r="M16" s="18">
        <f>IF(AND(B16&lt;&gt;"",NOT(ISNUMBER(E16))),1,0)</f>
        <v>0</v>
      </c>
      <c r="N16" s="18">
        <f>IF(AND(D16&lt;&gt;"",NOT(ISNUMBER(D16))),1,0)</f>
        <v>0</v>
      </c>
    </row>
    <row r="17">
      <c r="A17" s="18">
        <f>ROW()-ROW($A$5)</f>
        <v>12</v>
      </c>
      <c r="B17" s="36" t="str">
        <f>IF(OR(NOT(ISNUMBER($B$3)),NOT(ISNUMBER(Abstract!$B$29))),"",IF(MIN(DATE(YEAR($B$3),MONTH($B$3)+(12*(A17-1)),DAY($B$3)),EOMONTH(DATE(YEAR($B$3),MONTH($B$3)+(12*(A17-1)),1),0))&gt;Abstract!$B$29,"",MIN(DATE(YEAR($B$3),MONTH($B$3)+(12*(A17-1)),DAY($B$3)),EOMONTH(DATE(YEAR($B$3),MONTH($B$3)+(12*(A17-1)),1),0))))</f>
        <v/>
      </c>
      <c r="C17" s="36" t="str">
        <f>IF(B17="","",MIN(MIN(DATE(YEAR($B$3),MONTH($B$3)+(12*A17),DAY($B$3)),EOMONTH(DATE(YEAR($B$3),MONTH($B$3)+(12*A17),1),0))-1,Abstract!$B$29))</f>
        <v/>
      </c>
      <c r="D17" s="38" t="n"/>
      <c r="E17" s="25" t="str">
        <f>IF(B17="","",IF(A17=1,Abstract!$B$36,IF(Abstract!$B$37="Percentage, compounding",ROUND(E16*(1+Abstract!$B$38),2),IF(Abstract!$B$37="Percentage, simple",ROUND(Abstract!$B$36*(1+Abstract!$B$38*(A17-1)),2),IF(Abstract!$B$37="None",Abstract!$B$36,IF(ISNUMBER(D17),D17,""))))))</f>
        <v/>
      </c>
      <c r="F17" s="25" t="str">
        <f>IF(E17="","",E17*12)</f>
        <v/>
      </c>
      <c r="G17" s="25" t="str">
        <f>IF(E17="","",IF(NOT(ISNUMBER(Abstract!$B$21)),"",IF(Abstract!$B$21&lt;=0,"",ROUND(E17*12/Abstract!$B$21,2))))</f>
        <v/>
      </c>
      <c r="H17" s="18" t="str">
        <f>IF(B17="","",(YEAR(C17+1)-YEAR(B17))*12+MONTH(C17+1)-MONTH(B17))</f>
        <v/>
      </c>
      <c r="I17" s="18">
        <f>IF(B17="",0,IF(MIN(DATE(YEAR(B17),MONTH(B17)+(H17),DAY(B17)),EOMONTH(DATE(YEAR(B17),MONTH(B17)+(H17),1),0))=C17+1,0,1))</f>
        <v>0</v>
      </c>
      <c r="J17" s="25" t="str">
        <f>IF(OR(E17="",I17=1),"",E17*H17)</f>
        <v/>
      </c>
      <c r="K17" s="18">
        <f>IF(OR(B17="",NOT(ISNUMBER(Abstract!$B$4))),0,IF(AND(B17&lt;=Abstract!$B$4,Abstract!$B$4&lt;=C17),1,0))</f>
        <v>0</v>
      </c>
      <c r="L17" s="36" t="str">
        <f>IF(OR(B17="",A17=1),"",B17-Abstract!$B$97)</f>
        <v/>
      </c>
      <c r="M17" s="18">
        <f>IF(AND(B17&lt;&gt;"",NOT(ISNUMBER(E17))),1,0)</f>
        <v>0</v>
      </c>
      <c r="N17" s="18">
        <f>IF(AND(D17&lt;&gt;"",NOT(ISNUMBER(D17))),1,0)</f>
        <v>0</v>
      </c>
    </row>
    <row r="18">
      <c r="A18" s="18">
        <f>ROW()-ROW($A$5)</f>
        <v>13</v>
      </c>
      <c r="B18" s="36" t="str">
        <f>IF(OR(NOT(ISNUMBER($B$3)),NOT(ISNUMBER(Abstract!$B$29))),"",IF(MIN(DATE(YEAR($B$3),MONTH($B$3)+(12*(A18-1)),DAY($B$3)),EOMONTH(DATE(YEAR($B$3),MONTH($B$3)+(12*(A18-1)),1),0))&gt;Abstract!$B$29,"",MIN(DATE(YEAR($B$3),MONTH($B$3)+(12*(A18-1)),DAY($B$3)),EOMONTH(DATE(YEAR($B$3),MONTH($B$3)+(12*(A18-1)),1),0))))</f>
        <v/>
      </c>
      <c r="C18" s="36" t="str">
        <f>IF(B18="","",MIN(MIN(DATE(YEAR($B$3),MONTH($B$3)+(12*A18),DAY($B$3)),EOMONTH(DATE(YEAR($B$3),MONTH($B$3)+(12*A18),1),0))-1,Abstract!$B$29))</f>
        <v/>
      </c>
      <c r="D18" s="38" t="n"/>
      <c r="E18" s="25" t="str">
        <f>IF(B18="","",IF(A18=1,Abstract!$B$36,IF(Abstract!$B$37="Percentage, compounding",ROUND(E17*(1+Abstract!$B$38),2),IF(Abstract!$B$37="Percentage, simple",ROUND(Abstract!$B$36*(1+Abstract!$B$38*(A18-1)),2),IF(Abstract!$B$37="None",Abstract!$B$36,IF(ISNUMBER(D18),D18,""))))))</f>
        <v/>
      </c>
      <c r="F18" s="25" t="str">
        <f>IF(E18="","",E18*12)</f>
        <v/>
      </c>
      <c r="G18" s="25" t="str">
        <f>IF(E18="","",IF(NOT(ISNUMBER(Abstract!$B$21)),"",IF(Abstract!$B$21&lt;=0,"",ROUND(E18*12/Abstract!$B$21,2))))</f>
        <v/>
      </c>
      <c r="H18" s="18" t="str">
        <f>IF(B18="","",(YEAR(C18+1)-YEAR(B18))*12+MONTH(C18+1)-MONTH(B18))</f>
        <v/>
      </c>
      <c r="I18" s="18">
        <f>IF(B18="",0,IF(MIN(DATE(YEAR(B18),MONTH(B18)+(H18),DAY(B18)),EOMONTH(DATE(YEAR(B18),MONTH(B18)+(H18),1),0))=C18+1,0,1))</f>
        <v>0</v>
      </c>
      <c r="J18" s="25" t="str">
        <f>IF(OR(E18="",I18=1),"",E18*H18)</f>
        <v/>
      </c>
      <c r="K18" s="18">
        <f>IF(OR(B18="",NOT(ISNUMBER(Abstract!$B$4))),0,IF(AND(B18&lt;=Abstract!$B$4,Abstract!$B$4&lt;=C18),1,0))</f>
        <v>0</v>
      </c>
      <c r="L18" s="36" t="str">
        <f>IF(OR(B18="",A18=1),"",B18-Abstract!$B$97)</f>
        <v/>
      </c>
      <c r="M18" s="18">
        <f>IF(AND(B18&lt;&gt;"",NOT(ISNUMBER(E18))),1,0)</f>
        <v>0</v>
      </c>
      <c r="N18" s="18">
        <f>IF(AND(D18&lt;&gt;"",NOT(ISNUMBER(D18))),1,0)</f>
        <v>0</v>
      </c>
    </row>
    <row r="19">
      <c r="A19" s="18">
        <f>ROW()-ROW($A$5)</f>
        <v>14</v>
      </c>
      <c r="B19" s="36" t="str">
        <f>IF(OR(NOT(ISNUMBER($B$3)),NOT(ISNUMBER(Abstract!$B$29))),"",IF(MIN(DATE(YEAR($B$3),MONTH($B$3)+(12*(A19-1)),DAY($B$3)),EOMONTH(DATE(YEAR($B$3),MONTH($B$3)+(12*(A19-1)),1),0))&gt;Abstract!$B$29,"",MIN(DATE(YEAR($B$3),MONTH($B$3)+(12*(A19-1)),DAY($B$3)),EOMONTH(DATE(YEAR($B$3),MONTH($B$3)+(12*(A19-1)),1),0))))</f>
        <v/>
      </c>
      <c r="C19" s="36" t="str">
        <f>IF(B19="","",MIN(MIN(DATE(YEAR($B$3),MONTH($B$3)+(12*A19),DAY($B$3)),EOMONTH(DATE(YEAR($B$3),MONTH($B$3)+(12*A19),1),0))-1,Abstract!$B$29))</f>
        <v/>
      </c>
      <c r="D19" s="38" t="n"/>
      <c r="E19" s="25" t="str">
        <f>IF(B19="","",IF(A19=1,Abstract!$B$36,IF(Abstract!$B$37="Percentage, compounding",ROUND(E18*(1+Abstract!$B$38),2),IF(Abstract!$B$37="Percentage, simple",ROUND(Abstract!$B$36*(1+Abstract!$B$38*(A19-1)),2),IF(Abstract!$B$37="None",Abstract!$B$36,IF(ISNUMBER(D19),D19,""))))))</f>
        <v/>
      </c>
      <c r="F19" s="25" t="str">
        <f>IF(E19="","",E19*12)</f>
        <v/>
      </c>
      <c r="G19" s="25" t="str">
        <f>IF(E19="","",IF(NOT(ISNUMBER(Abstract!$B$21)),"",IF(Abstract!$B$21&lt;=0,"",ROUND(E19*12/Abstract!$B$21,2))))</f>
        <v/>
      </c>
      <c r="H19" s="18" t="str">
        <f>IF(B19="","",(YEAR(C19+1)-YEAR(B19))*12+MONTH(C19+1)-MONTH(B19))</f>
        <v/>
      </c>
      <c r="I19" s="18">
        <f>IF(B19="",0,IF(MIN(DATE(YEAR(B19),MONTH(B19)+(H19),DAY(B19)),EOMONTH(DATE(YEAR(B19),MONTH(B19)+(H19),1),0))=C19+1,0,1))</f>
        <v>0</v>
      </c>
      <c r="J19" s="25" t="str">
        <f>IF(OR(E19="",I19=1),"",E19*H19)</f>
        <v/>
      </c>
      <c r="K19" s="18">
        <f>IF(OR(B19="",NOT(ISNUMBER(Abstract!$B$4))),0,IF(AND(B19&lt;=Abstract!$B$4,Abstract!$B$4&lt;=C19),1,0))</f>
        <v>0</v>
      </c>
      <c r="L19" s="36" t="str">
        <f>IF(OR(B19="",A19=1),"",B19-Abstract!$B$97)</f>
        <v/>
      </c>
      <c r="M19" s="18">
        <f>IF(AND(B19&lt;&gt;"",NOT(ISNUMBER(E19))),1,0)</f>
        <v>0</v>
      </c>
      <c r="N19" s="18">
        <f>IF(AND(D19&lt;&gt;"",NOT(ISNUMBER(D19))),1,0)</f>
        <v>0</v>
      </c>
    </row>
    <row r="20">
      <c r="A20" s="18">
        <f>ROW()-ROW($A$5)</f>
        <v>15</v>
      </c>
      <c r="B20" s="36" t="str">
        <f>IF(OR(NOT(ISNUMBER($B$3)),NOT(ISNUMBER(Abstract!$B$29))),"",IF(MIN(DATE(YEAR($B$3),MONTH($B$3)+(12*(A20-1)),DAY($B$3)),EOMONTH(DATE(YEAR($B$3),MONTH($B$3)+(12*(A20-1)),1),0))&gt;Abstract!$B$29,"",MIN(DATE(YEAR($B$3),MONTH($B$3)+(12*(A20-1)),DAY($B$3)),EOMONTH(DATE(YEAR($B$3),MONTH($B$3)+(12*(A20-1)),1),0))))</f>
        <v/>
      </c>
      <c r="C20" s="36" t="str">
        <f>IF(B20="","",MIN(MIN(DATE(YEAR($B$3),MONTH($B$3)+(12*A20),DAY($B$3)),EOMONTH(DATE(YEAR($B$3),MONTH($B$3)+(12*A20),1),0))-1,Abstract!$B$29))</f>
        <v/>
      </c>
      <c r="D20" s="38" t="n"/>
      <c r="E20" s="25" t="str">
        <f>IF(B20="","",IF(A20=1,Abstract!$B$36,IF(Abstract!$B$37="Percentage, compounding",ROUND(E19*(1+Abstract!$B$38),2),IF(Abstract!$B$37="Percentage, simple",ROUND(Abstract!$B$36*(1+Abstract!$B$38*(A20-1)),2),IF(Abstract!$B$37="None",Abstract!$B$36,IF(ISNUMBER(D20),D20,""))))))</f>
        <v/>
      </c>
      <c r="F20" s="25" t="str">
        <f>IF(E20="","",E20*12)</f>
        <v/>
      </c>
      <c r="G20" s="25" t="str">
        <f>IF(E20="","",IF(NOT(ISNUMBER(Abstract!$B$21)),"",IF(Abstract!$B$21&lt;=0,"",ROUND(E20*12/Abstract!$B$21,2))))</f>
        <v/>
      </c>
      <c r="H20" s="18" t="str">
        <f>IF(B20="","",(YEAR(C20+1)-YEAR(B20))*12+MONTH(C20+1)-MONTH(B20))</f>
        <v/>
      </c>
      <c r="I20" s="18">
        <f>IF(B20="",0,IF(MIN(DATE(YEAR(B20),MONTH(B20)+(H20),DAY(B20)),EOMONTH(DATE(YEAR(B20),MONTH(B20)+(H20),1),0))=C20+1,0,1))</f>
        <v>0</v>
      </c>
      <c r="J20" s="25" t="str">
        <f>IF(OR(E20="",I20=1),"",E20*H20)</f>
        <v/>
      </c>
      <c r="K20" s="18">
        <f>IF(OR(B20="",NOT(ISNUMBER(Abstract!$B$4))),0,IF(AND(B20&lt;=Abstract!$B$4,Abstract!$B$4&lt;=C20),1,0))</f>
        <v>0</v>
      </c>
      <c r="L20" s="36" t="str">
        <f>IF(OR(B20="",A20=1),"",B20-Abstract!$B$97)</f>
        <v/>
      </c>
      <c r="M20" s="18">
        <f>IF(AND(B20&lt;&gt;"",NOT(ISNUMBER(E20))),1,0)</f>
        <v>0</v>
      </c>
      <c r="N20" s="18">
        <f>IF(AND(D20&lt;&gt;"",NOT(ISNUMBER(D20))),1,0)</f>
        <v>0</v>
      </c>
    </row>
    <row r="21">
      <c r="A21" s="18">
        <f>ROW()-ROW($A$5)</f>
        <v>16</v>
      </c>
      <c r="B21" s="36" t="str">
        <f>IF(OR(NOT(ISNUMBER($B$3)),NOT(ISNUMBER(Abstract!$B$29))),"",IF(MIN(DATE(YEAR($B$3),MONTH($B$3)+(12*(A21-1)),DAY($B$3)),EOMONTH(DATE(YEAR($B$3),MONTH($B$3)+(12*(A21-1)),1),0))&gt;Abstract!$B$29,"",MIN(DATE(YEAR($B$3),MONTH($B$3)+(12*(A21-1)),DAY($B$3)),EOMONTH(DATE(YEAR($B$3),MONTH($B$3)+(12*(A21-1)),1),0))))</f>
        <v/>
      </c>
      <c r="C21" s="36" t="str">
        <f>IF(B21="","",MIN(MIN(DATE(YEAR($B$3),MONTH($B$3)+(12*A21),DAY($B$3)),EOMONTH(DATE(YEAR($B$3),MONTH($B$3)+(12*A21),1),0))-1,Abstract!$B$29))</f>
        <v/>
      </c>
      <c r="D21" s="38" t="n"/>
      <c r="E21" s="25" t="str">
        <f>IF(B21="","",IF(A21=1,Abstract!$B$36,IF(Abstract!$B$37="Percentage, compounding",ROUND(E20*(1+Abstract!$B$38),2),IF(Abstract!$B$37="Percentage, simple",ROUND(Abstract!$B$36*(1+Abstract!$B$38*(A21-1)),2),IF(Abstract!$B$37="None",Abstract!$B$36,IF(ISNUMBER(D21),D21,""))))))</f>
        <v/>
      </c>
      <c r="F21" s="25" t="str">
        <f>IF(E21="","",E21*12)</f>
        <v/>
      </c>
      <c r="G21" s="25" t="str">
        <f>IF(E21="","",IF(NOT(ISNUMBER(Abstract!$B$21)),"",IF(Abstract!$B$21&lt;=0,"",ROUND(E21*12/Abstract!$B$21,2))))</f>
        <v/>
      </c>
      <c r="H21" s="18" t="str">
        <f>IF(B21="","",(YEAR(C21+1)-YEAR(B21))*12+MONTH(C21+1)-MONTH(B21))</f>
        <v/>
      </c>
      <c r="I21" s="18">
        <f>IF(B21="",0,IF(MIN(DATE(YEAR(B21),MONTH(B21)+(H21),DAY(B21)),EOMONTH(DATE(YEAR(B21),MONTH(B21)+(H21),1),0))=C21+1,0,1))</f>
        <v>0</v>
      </c>
      <c r="J21" s="25" t="str">
        <f>IF(OR(E21="",I21=1),"",E21*H21)</f>
        <v/>
      </c>
      <c r="K21" s="18">
        <f>IF(OR(B21="",NOT(ISNUMBER(Abstract!$B$4))),0,IF(AND(B21&lt;=Abstract!$B$4,Abstract!$B$4&lt;=C21),1,0))</f>
        <v>0</v>
      </c>
      <c r="L21" s="36" t="str">
        <f>IF(OR(B21="",A21=1),"",B21-Abstract!$B$97)</f>
        <v/>
      </c>
      <c r="M21" s="18">
        <f>IF(AND(B21&lt;&gt;"",NOT(ISNUMBER(E21))),1,0)</f>
        <v>0</v>
      </c>
      <c r="N21" s="18">
        <f>IF(AND(D21&lt;&gt;"",NOT(ISNUMBER(D21))),1,0)</f>
        <v>0</v>
      </c>
    </row>
    <row r="22">
      <c r="A22" s="18">
        <f>ROW()-ROW($A$5)</f>
        <v>17</v>
      </c>
      <c r="B22" s="36" t="str">
        <f>IF(OR(NOT(ISNUMBER($B$3)),NOT(ISNUMBER(Abstract!$B$29))),"",IF(MIN(DATE(YEAR($B$3),MONTH($B$3)+(12*(A22-1)),DAY($B$3)),EOMONTH(DATE(YEAR($B$3),MONTH($B$3)+(12*(A22-1)),1),0))&gt;Abstract!$B$29,"",MIN(DATE(YEAR($B$3),MONTH($B$3)+(12*(A22-1)),DAY($B$3)),EOMONTH(DATE(YEAR($B$3),MONTH($B$3)+(12*(A22-1)),1),0))))</f>
        <v/>
      </c>
      <c r="C22" s="36" t="str">
        <f>IF(B22="","",MIN(MIN(DATE(YEAR($B$3),MONTH($B$3)+(12*A22),DAY($B$3)),EOMONTH(DATE(YEAR($B$3),MONTH($B$3)+(12*A22),1),0))-1,Abstract!$B$29))</f>
        <v/>
      </c>
      <c r="D22" s="38" t="n"/>
      <c r="E22" s="25" t="str">
        <f>IF(B22="","",IF(A22=1,Abstract!$B$36,IF(Abstract!$B$37="Percentage, compounding",ROUND(E21*(1+Abstract!$B$38),2),IF(Abstract!$B$37="Percentage, simple",ROUND(Abstract!$B$36*(1+Abstract!$B$38*(A22-1)),2),IF(Abstract!$B$37="None",Abstract!$B$36,IF(ISNUMBER(D22),D22,""))))))</f>
        <v/>
      </c>
      <c r="F22" s="25" t="str">
        <f>IF(E22="","",E22*12)</f>
        <v/>
      </c>
      <c r="G22" s="25" t="str">
        <f>IF(E22="","",IF(NOT(ISNUMBER(Abstract!$B$21)),"",IF(Abstract!$B$21&lt;=0,"",ROUND(E22*12/Abstract!$B$21,2))))</f>
        <v/>
      </c>
      <c r="H22" s="18" t="str">
        <f>IF(B22="","",(YEAR(C22+1)-YEAR(B22))*12+MONTH(C22+1)-MONTH(B22))</f>
        <v/>
      </c>
      <c r="I22" s="18">
        <f>IF(B22="",0,IF(MIN(DATE(YEAR(B22),MONTH(B22)+(H22),DAY(B22)),EOMONTH(DATE(YEAR(B22),MONTH(B22)+(H22),1),0))=C22+1,0,1))</f>
        <v>0</v>
      </c>
      <c r="J22" s="25" t="str">
        <f>IF(OR(E22="",I22=1),"",E22*H22)</f>
        <v/>
      </c>
      <c r="K22" s="18">
        <f>IF(OR(B22="",NOT(ISNUMBER(Abstract!$B$4))),0,IF(AND(B22&lt;=Abstract!$B$4,Abstract!$B$4&lt;=C22),1,0))</f>
        <v>0</v>
      </c>
      <c r="L22" s="36" t="str">
        <f>IF(OR(B22="",A22=1),"",B22-Abstract!$B$97)</f>
        <v/>
      </c>
      <c r="M22" s="18">
        <f>IF(AND(B22&lt;&gt;"",NOT(ISNUMBER(E22))),1,0)</f>
        <v>0</v>
      </c>
      <c r="N22" s="18">
        <f>IF(AND(D22&lt;&gt;"",NOT(ISNUMBER(D22))),1,0)</f>
        <v>0</v>
      </c>
    </row>
    <row r="23">
      <c r="A23" s="18">
        <f>ROW()-ROW($A$5)</f>
        <v>18</v>
      </c>
      <c r="B23" s="36" t="str">
        <f>IF(OR(NOT(ISNUMBER($B$3)),NOT(ISNUMBER(Abstract!$B$29))),"",IF(MIN(DATE(YEAR($B$3),MONTH($B$3)+(12*(A23-1)),DAY($B$3)),EOMONTH(DATE(YEAR($B$3),MONTH($B$3)+(12*(A23-1)),1),0))&gt;Abstract!$B$29,"",MIN(DATE(YEAR($B$3),MONTH($B$3)+(12*(A23-1)),DAY($B$3)),EOMONTH(DATE(YEAR($B$3),MONTH($B$3)+(12*(A23-1)),1),0))))</f>
        <v/>
      </c>
      <c r="C23" s="36" t="str">
        <f>IF(B23="","",MIN(MIN(DATE(YEAR($B$3),MONTH($B$3)+(12*A23),DAY($B$3)),EOMONTH(DATE(YEAR($B$3),MONTH($B$3)+(12*A23),1),0))-1,Abstract!$B$29))</f>
        <v/>
      </c>
      <c r="D23" s="38" t="n"/>
      <c r="E23" s="25" t="str">
        <f>IF(B23="","",IF(A23=1,Abstract!$B$36,IF(Abstract!$B$37="Percentage, compounding",ROUND(E22*(1+Abstract!$B$38),2),IF(Abstract!$B$37="Percentage, simple",ROUND(Abstract!$B$36*(1+Abstract!$B$38*(A23-1)),2),IF(Abstract!$B$37="None",Abstract!$B$36,IF(ISNUMBER(D23),D23,""))))))</f>
        <v/>
      </c>
      <c r="F23" s="25" t="str">
        <f>IF(E23="","",E23*12)</f>
        <v/>
      </c>
      <c r="G23" s="25" t="str">
        <f>IF(E23="","",IF(NOT(ISNUMBER(Abstract!$B$21)),"",IF(Abstract!$B$21&lt;=0,"",ROUND(E23*12/Abstract!$B$21,2))))</f>
        <v/>
      </c>
      <c r="H23" s="18" t="str">
        <f>IF(B23="","",(YEAR(C23+1)-YEAR(B23))*12+MONTH(C23+1)-MONTH(B23))</f>
        <v/>
      </c>
      <c r="I23" s="18">
        <f>IF(B23="",0,IF(MIN(DATE(YEAR(B23),MONTH(B23)+(H23),DAY(B23)),EOMONTH(DATE(YEAR(B23),MONTH(B23)+(H23),1),0))=C23+1,0,1))</f>
        <v>0</v>
      </c>
      <c r="J23" s="25" t="str">
        <f>IF(OR(E23="",I23=1),"",E23*H23)</f>
        <v/>
      </c>
      <c r="K23" s="18">
        <f>IF(OR(B23="",NOT(ISNUMBER(Abstract!$B$4))),0,IF(AND(B23&lt;=Abstract!$B$4,Abstract!$B$4&lt;=C23),1,0))</f>
        <v>0</v>
      </c>
      <c r="L23" s="36" t="str">
        <f>IF(OR(B23="",A23=1),"",B23-Abstract!$B$97)</f>
        <v/>
      </c>
      <c r="M23" s="18">
        <f>IF(AND(B23&lt;&gt;"",NOT(ISNUMBER(E23))),1,0)</f>
        <v>0</v>
      </c>
      <c r="N23" s="18">
        <f>IF(AND(D23&lt;&gt;"",NOT(ISNUMBER(D23))),1,0)</f>
        <v>0</v>
      </c>
    </row>
    <row r="24">
      <c r="A24" s="18">
        <f>ROW()-ROW($A$5)</f>
        <v>19</v>
      </c>
      <c r="B24" s="36" t="str">
        <f>IF(OR(NOT(ISNUMBER($B$3)),NOT(ISNUMBER(Abstract!$B$29))),"",IF(MIN(DATE(YEAR($B$3),MONTH($B$3)+(12*(A24-1)),DAY($B$3)),EOMONTH(DATE(YEAR($B$3),MONTH($B$3)+(12*(A24-1)),1),0))&gt;Abstract!$B$29,"",MIN(DATE(YEAR($B$3),MONTH($B$3)+(12*(A24-1)),DAY($B$3)),EOMONTH(DATE(YEAR($B$3),MONTH($B$3)+(12*(A24-1)),1),0))))</f>
        <v/>
      </c>
      <c r="C24" s="36" t="str">
        <f>IF(B24="","",MIN(MIN(DATE(YEAR($B$3),MONTH($B$3)+(12*A24),DAY($B$3)),EOMONTH(DATE(YEAR($B$3),MONTH($B$3)+(12*A24),1),0))-1,Abstract!$B$29))</f>
        <v/>
      </c>
      <c r="D24" s="38" t="n"/>
      <c r="E24" s="25" t="str">
        <f>IF(B24="","",IF(A24=1,Abstract!$B$36,IF(Abstract!$B$37="Percentage, compounding",ROUND(E23*(1+Abstract!$B$38),2),IF(Abstract!$B$37="Percentage, simple",ROUND(Abstract!$B$36*(1+Abstract!$B$38*(A24-1)),2),IF(Abstract!$B$37="None",Abstract!$B$36,IF(ISNUMBER(D24),D24,""))))))</f>
        <v/>
      </c>
      <c r="F24" s="25" t="str">
        <f>IF(E24="","",E24*12)</f>
        <v/>
      </c>
      <c r="G24" s="25" t="str">
        <f>IF(E24="","",IF(NOT(ISNUMBER(Abstract!$B$21)),"",IF(Abstract!$B$21&lt;=0,"",ROUND(E24*12/Abstract!$B$21,2))))</f>
        <v/>
      </c>
      <c r="H24" s="18" t="str">
        <f>IF(B24="","",(YEAR(C24+1)-YEAR(B24))*12+MONTH(C24+1)-MONTH(B24))</f>
        <v/>
      </c>
      <c r="I24" s="18">
        <f>IF(B24="",0,IF(MIN(DATE(YEAR(B24),MONTH(B24)+(H24),DAY(B24)),EOMONTH(DATE(YEAR(B24),MONTH(B24)+(H24),1),0))=C24+1,0,1))</f>
        <v>0</v>
      </c>
      <c r="J24" s="25" t="str">
        <f>IF(OR(E24="",I24=1),"",E24*H24)</f>
        <v/>
      </c>
      <c r="K24" s="18">
        <f>IF(OR(B24="",NOT(ISNUMBER(Abstract!$B$4))),0,IF(AND(B24&lt;=Abstract!$B$4,Abstract!$B$4&lt;=C24),1,0))</f>
        <v>0</v>
      </c>
      <c r="L24" s="36" t="str">
        <f>IF(OR(B24="",A24=1),"",B24-Abstract!$B$97)</f>
        <v/>
      </c>
      <c r="M24" s="18">
        <f>IF(AND(B24&lt;&gt;"",NOT(ISNUMBER(E24))),1,0)</f>
        <v>0</v>
      </c>
      <c r="N24" s="18">
        <f>IF(AND(D24&lt;&gt;"",NOT(ISNUMBER(D24))),1,0)</f>
        <v>0</v>
      </c>
    </row>
    <row r="25">
      <c r="A25" s="18">
        <f>ROW()-ROW($A$5)</f>
        <v>20</v>
      </c>
      <c r="B25" s="36" t="str">
        <f>IF(OR(NOT(ISNUMBER($B$3)),NOT(ISNUMBER(Abstract!$B$29))),"",IF(MIN(DATE(YEAR($B$3),MONTH($B$3)+(12*(A25-1)),DAY($B$3)),EOMONTH(DATE(YEAR($B$3),MONTH($B$3)+(12*(A25-1)),1),0))&gt;Abstract!$B$29,"",MIN(DATE(YEAR($B$3),MONTH($B$3)+(12*(A25-1)),DAY($B$3)),EOMONTH(DATE(YEAR($B$3),MONTH($B$3)+(12*(A25-1)),1),0))))</f>
        <v/>
      </c>
      <c r="C25" s="36" t="str">
        <f>IF(B25="","",MIN(MIN(DATE(YEAR($B$3),MONTH($B$3)+(12*A25),DAY($B$3)),EOMONTH(DATE(YEAR($B$3),MONTH($B$3)+(12*A25),1),0))-1,Abstract!$B$29))</f>
        <v/>
      </c>
      <c r="D25" s="38" t="n"/>
      <c r="E25" s="25" t="str">
        <f>IF(B25="","",IF(A25=1,Abstract!$B$36,IF(Abstract!$B$37="Percentage, compounding",ROUND(E24*(1+Abstract!$B$38),2),IF(Abstract!$B$37="Percentage, simple",ROUND(Abstract!$B$36*(1+Abstract!$B$38*(A25-1)),2),IF(Abstract!$B$37="None",Abstract!$B$36,IF(ISNUMBER(D25),D25,""))))))</f>
        <v/>
      </c>
      <c r="F25" s="25" t="str">
        <f>IF(E25="","",E25*12)</f>
        <v/>
      </c>
      <c r="G25" s="25" t="str">
        <f>IF(E25="","",IF(NOT(ISNUMBER(Abstract!$B$21)),"",IF(Abstract!$B$21&lt;=0,"",ROUND(E25*12/Abstract!$B$21,2))))</f>
        <v/>
      </c>
      <c r="H25" s="18" t="str">
        <f>IF(B25="","",(YEAR(C25+1)-YEAR(B25))*12+MONTH(C25+1)-MONTH(B25))</f>
        <v/>
      </c>
      <c r="I25" s="18">
        <f>IF(B25="",0,IF(MIN(DATE(YEAR(B25),MONTH(B25)+(H25),DAY(B25)),EOMONTH(DATE(YEAR(B25),MONTH(B25)+(H25),1),0))=C25+1,0,1))</f>
        <v>0</v>
      </c>
      <c r="J25" s="25" t="str">
        <f>IF(OR(E25="",I25=1),"",E25*H25)</f>
        <v/>
      </c>
      <c r="K25" s="18">
        <f>IF(OR(B25="",NOT(ISNUMBER(Abstract!$B$4))),0,IF(AND(B25&lt;=Abstract!$B$4,Abstract!$B$4&lt;=C25),1,0))</f>
        <v>0</v>
      </c>
      <c r="L25" s="36" t="str">
        <f>IF(OR(B25="",A25=1),"",B25-Abstract!$B$97)</f>
        <v/>
      </c>
      <c r="M25" s="18">
        <f>IF(AND(B25&lt;&gt;"",NOT(ISNUMBER(E25))),1,0)</f>
        <v>0</v>
      </c>
      <c r="N25" s="18">
        <f>IF(AND(D25&lt;&gt;"",NOT(ISNUMBER(D25))),1,0)</f>
        <v>0</v>
      </c>
    </row>
    <row r="27">
      <c r="B27" s="18">
        <f>COUNT(B6:B25)</f>
        <v>4</v>
      </c>
      <c r="C27" s="39" t="inlineStr">
        <is>
          <t>Lease years</t>
        </is>
      </c>
    </row>
    <row r="28">
      <c r="B28" s="36">
        <f>IF(COUNT(C6:C25)=0,"",MAX(C6:C25))</f>
        <v>47118</v>
      </c>
      <c r="C28" s="39" t="inlineStr">
        <is>
          <t>Last lease year ends</t>
        </is>
      </c>
    </row>
    <row r="29">
      <c r="B29" s="25">
        <f>IF(B28="","",IFERROR(INDEX(E6:E25,MATCH(B28,C6:C25,0)),""))</f>
        <v>6556.36</v>
      </c>
      <c r="C29" s="39" t="inlineStr">
        <is>
          <t>Monthly base rent in the last lease year</t>
        </is>
      </c>
    </row>
    <row r="30">
      <c r="B30" s="18">
        <f>SUM(I6:I25)</f>
        <v>0</v>
      </c>
      <c r="C30" s="39" t="inlineStr">
        <is>
          <t>Lease years ending mid-month</t>
        </is>
      </c>
    </row>
    <row r="31">
      <c r="B31" s="40">
        <f>IF(OR(B27=0,B30&gt;0,SUM(M6:M25)&gt;0),"",SUM(J6:J25))</f>
        <v>288108.4</v>
      </c>
      <c r="C31" s="8" t="inlineStr">
        <is>
          <t>Base rent over the term</t>
        </is>
      </c>
    </row>
    <row r="32">
      <c r="B32" s="18">
        <f>IF(SUM(K6:K25)=1,SUMIFS(A6:A25,K6:K25,1),"")</f>
        <v>2</v>
      </c>
      <c r="C32" s="39" t="inlineStr">
        <is>
          <t>Lease year in force on the as-of date</t>
        </is>
      </c>
    </row>
    <row r="33">
      <c r="B33" s="25">
        <f>IF(B32="","",INDEX(E6:E25,B32))</f>
        <v>6180</v>
      </c>
      <c r="C33" s="39" t="inlineStr">
        <is>
          <t>Monthly base rent on the as-of date</t>
        </is>
      </c>
    </row>
    <row r="34">
      <c r="B34" s="36">
        <f>IFERROR(IF(OR(NOT(ISNUMBER(Abstract!$B$4)),NOT(ISNUMBER($B$3))),"",IF(Abstract!$B$4&lt;$B$3,$B$3,IF(B32="","",IF(INDEX(B6:B25,B32+1)="","",INDEX(B6:B25,B32+1))))),"")</f>
        <v>46447</v>
      </c>
      <c r="C34" s="39" t="inlineStr">
        <is>
          <t>Next rent change</t>
        </is>
      </c>
    </row>
    <row r="35">
      <c r="B35" s="25">
        <f>IFERROR(IF(B34="","",INDEX(E6:E25,MATCH(B34,B6:B25,0))),"")</f>
        <v>6365.4</v>
      </c>
      <c r="C35" s="39" t="inlineStr">
        <is>
          <t>Next monthly base rent</t>
        </is>
      </c>
    </row>
    <row r="37" ht="40" customHeight="1">
      <c r="A37" s="5" t="inlineStr">
        <is>
          <t>Lease years run from each anniversary of rent commencement. Rent is the base rent in force; free or reduced rent is noted on the Abstract, not deducted. A lease year that ends mid-month is flagged and its period rent left blank: prorate it as the lease says. An index increase is typed in column D once the index is published.</t>
        </is>
      </c>
    </row>
  </sheetData>
  <mergeCells count="1">
    <mergeCell ref="A37:N37"/>
  </mergeCells>
  <pageMargins left="0.75" right="0.75" top="1" bottom="1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8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4" customWidth="1" min="2" max="2"/>
    <col width="13" customWidth="1" min="3" max="3"/>
    <col width="9" customWidth="1" min="4" max="4"/>
    <col width="8" customWidth="1" min="5" max="5"/>
    <col width="10" customWidth="1" min="6" max="6"/>
    <col width="8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30" customWidth="1" min="15" max="15"/>
    <col width="9" customWidth="1" min="16" max="16"/>
    <col width="12" customWidth="1" min="17" max="17"/>
    <col width="10" customWidth="1" min="18" max="18"/>
  </cols>
  <sheetData>
    <row r="1">
      <c r="A1" s="6" t="inlineStr">
        <is>
          <t>Options</t>
        </is>
      </c>
    </row>
    <row r="2">
      <c r="A2" s="7" t="inlineStr">
        <is>
          <t>One row per option. Yellow cells are yours; columns J onward are computed.</t>
        </is>
      </c>
    </row>
    <row r="3">
      <c r="A3" s="7" t="inlineStr">
        <is>
          <t>Counted back by date: 270 days before Dec 31, 2028 is Apr 5, 2028. In months, the same day of the month, or the month's last day when it has none. Whether a weekend or holiday moves a deadline, and how notice must be delivered, is the lease's notice clause.</t>
        </is>
      </c>
    </row>
    <row r="5" ht="56" customHeight="1">
      <c r="A5" s="11" t="inlineStr">
        <is>
          <t>Option</t>
        </is>
      </c>
      <c r="B5" s="11" t="inlineStr">
        <is>
          <t>Terms, as the lease words them</t>
        </is>
      </c>
      <c r="C5" s="11" t="inlineStr">
        <is>
          <t>Count back from (blank: expiration)</t>
        </is>
      </c>
      <c r="D5" s="11" t="inlineStr">
        <is>
          <t>Notice period</t>
        </is>
      </c>
      <c r="E5" s="11" t="inlineStr">
        <is>
          <t>Unit</t>
        </is>
      </c>
      <c r="F5" s="11" t="inlineStr">
        <is>
          <t>Earliest notice period (optional)</t>
        </is>
      </c>
      <c r="G5" s="11" t="inlineStr">
        <is>
          <t>Unit</t>
        </is>
      </c>
      <c r="H5" s="11" t="inlineStr">
        <is>
          <t>Term length, years (renewal)</t>
        </is>
      </c>
      <c r="I5" s="11" t="inlineStr">
        <is>
          <t>Lease reference</t>
        </is>
      </c>
      <c r="J5" s="11" t="inlineStr">
        <is>
          <t>Notice deadline</t>
        </is>
      </c>
      <c r="K5" s="11" t="inlineStr">
        <is>
          <t>Earliest notice</t>
        </is>
      </c>
      <c r="L5" s="11" t="inlineStr">
        <is>
          <t>Raise on</t>
        </is>
      </c>
      <c r="M5" s="11" t="inlineStr">
        <is>
          <t>Term begins (renewal)</t>
        </is>
      </c>
      <c r="N5" s="11" t="inlineStr">
        <is>
          <t>Term ends</t>
        </is>
      </c>
      <c r="O5" s="11" t="inlineStr">
        <is>
          <t>Notice required (words)</t>
        </is>
      </c>
      <c r="P5" s="11" t="inlineStr">
        <is>
          <t>Error (1/0)</t>
        </is>
      </c>
      <c r="Q5" s="11" t="inlineStr">
        <is>
          <t>helper: counts back from</t>
        </is>
      </c>
      <c r="R5" s="11" t="inlineStr">
        <is>
          <t>helper: typed as text (1/0)</t>
        </is>
      </c>
    </row>
    <row r="6">
      <c r="A6" s="41" t="inlineStr">
        <is>
          <t>Renewal</t>
        </is>
      </c>
      <c r="B6" s="16" t="inlineStr">
        <is>
          <t>One 5-year term at fair market rent, as §20.2 defines it</t>
        </is>
      </c>
      <c r="C6" s="9" t="n"/>
      <c r="D6" s="42" t="n">
        <v>270</v>
      </c>
      <c r="E6" s="41" t="inlineStr">
        <is>
          <t>days</t>
        </is>
      </c>
      <c r="F6" s="42" t="n"/>
      <c r="G6" s="41" t="n"/>
      <c r="H6" s="42" t="n">
        <v>5</v>
      </c>
      <c r="I6" s="41" t="inlineStr">
        <is>
          <t>§20</t>
        </is>
      </c>
      <c r="J6" s="36">
        <f>IF(A6="","",IF(OR(NOT(ISNUMBER(Q6)),NOT(ISNUMBER(D6))),"",IF(E6="days",Q6-D6,IF(E6="months",MIN(DATE(YEAR(Q6),MONTH(Q6)+(-D6),DAY(Q6)),EOMONTH(DATE(YEAR(Q6),MONTH(Q6)+(-D6),1),0)),""))))</f>
        <v>46848</v>
      </c>
      <c r="K6" s="36" t="str">
        <f>IF(OR(A6="",F6=""),"",IF(OR(NOT(ISNUMBER(Q6)),NOT(ISNUMBER(F6))),"",IF(G6="days",Q6-F6,IF(G6="months",MIN(DATE(YEAR(Q6),MONTH(Q6)+(-F6),DAY(Q6)),EOMONTH(DATE(YEAR(Q6),MONTH(Q6)+(-F6),1),0)),""))))</f>
        <v/>
      </c>
      <c r="L6" s="36">
        <f>IF(J6="","",J6-Abstract!$B$98)</f>
        <v>46758</v>
      </c>
      <c r="M6" s="36">
        <f>IF(AND(A6="Renewal",ISNUMBER(H6),ISNUMBER(Abstract!$B$29)),Abstract!$B$29+1,"")</f>
        <v>47119</v>
      </c>
      <c r="N6" s="36">
        <f>IF(M6="","",MIN(DATE(YEAR(M6),MONTH(M6)+(12*H6),DAY(M6)),EOMONTH(DATE(YEAR(M6),MONTH(M6)+(12*H6),1),0))-1)</f>
        <v>48944</v>
      </c>
      <c r="O6" s="43" t="str">
        <f>IF(A6="","",IF(ISNUMBER(D6),D6&amp;" "&amp;E6&amp;" before "&amp;IF(C6="","expiration","the date in column C"),""))</f>
        <v>270 days before expiration</v>
      </c>
      <c r="P6" s="18">
        <f>IF(A6="",0,IF(OR(NOT(ISNUMBER(D6)),AND(E6&lt;&gt;"days",E6&lt;&gt;"months"),AND(C6&lt;&gt;"",NOT(ISNUMBER(C6))),AND(F6&lt;&gt;"",OR(NOT(ISNUMBER(F6)),AND(G6&lt;&gt;"days",G6&lt;&gt;"months"))),AND(H6&lt;&gt;"",NOT(ISNUMBER(H6)))),1,IF(OR(D6&lt;=0,J6="",AND(ISNUMBER(J6),OR(J6&gt;Q6,J6&lt;Abstract!$B$27))),1,0)))</f>
        <v>0</v>
      </c>
      <c r="Q6" s="36">
        <f>IF(A6="","",IF(C6="",IF(ISNUMBER(Abstract!$B$29),Abstract!$B$29,""),C6))</f>
        <v>47118</v>
      </c>
      <c r="R6" s="18">
        <f>IF(OR(AND(C6&lt;&gt;"",NOT(ISNUMBER(C6))),AND(D6&lt;&gt;"",NOT(ISNUMBER(D6))),AND(F6&lt;&gt;"",NOT(ISNUMBER(F6))),AND(H6&lt;&gt;"",NOT(ISNUMBER(H6)))),1,0)</f>
        <v>0</v>
      </c>
    </row>
    <row r="7">
      <c r="A7" s="41" t="n"/>
      <c r="B7" s="16" t="n"/>
      <c r="C7" s="9" t="n"/>
      <c r="D7" s="42" t="n"/>
      <c r="E7" s="41" t="n"/>
      <c r="F7" s="42" t="n"/>
      <c r="G7" s="41" t="n"/>
      <c r="H7" s="42" t="n"/>
      <c r="I7" s="41" t="n"/>
      <c r="J7" s="36" t="str">
        <f>IF(A7="","",IF(OR(NOT(ISNUMBER(Q7)),NOT(ISNUMBER(D7))),"",IF(E7="days",Q7-D7,IF(E7="months",MIN(DATE(YEAR(Q7),MONTH(Q7)+(-D7),DAY(Q7)),EOMONTH(DATE(YEAR(Q7),MONTH(Q7)+(-D7),1),0)),""))))</f>
        <v/>
      </c>
      <c r="K7" s="36" t="str">
        <f>IF(OR(A7="",F7=""),"",IF(OR(NOT(ISNUMBER(Q7)),NOT(ISNUMBER(F7))),"",IF(G7="days",Q7-F7,IF(G7="months",MIN(DATE(YEAR(Q7),MONTH(Q7)+(-F7),DAY(Q7)),EOMONTH(DATE(YEAR(Q7),MONTH(Q7)+(-F7),1),0)),""))))</f>
        <v/>
      </c>
      <c r="L7" s="36" t="str">
        <f>IF(J7="","",J7-Abstract!$B$98)</f>
        <v/>
      </c>
      <c r="M7" s="36" t="str">
        <f>IF(AND(A7="Renewal",ISNUMBER(H7),ISNUMBER(Abstract!$B$29)),Abstract!$B$29+1,"")</f>
        <v/>
      </c>
      <c r="N7" s="36" t="str">
        <f>IF(M7="","",MIN(DATE(YEAR(M7),MONTH(M7)+(12*H7),DAY(M7)),EOMONTH(DATE(YEAR(M7),MONTH(M7)+(12*H7),1),0))-1)</f>
        <v/>
      </c>
      <c r="O7" s="43" t="str">
        <f>IF(A7="","",IF(ISNUMBER(D7),D7&amp;" "&amp;E7&amp;" before "&amp;IF(C7="","expiration","the date in column C"),""))</f>
        <v/>
      </c>
      <c r="P7" s="18">
        <f>IF(A7="",0,IF(OR(NOT(ISNUMBER(D7)),AND(E7&lt;&gt;"days",E7&lt;&gt;"months"),AND(C7&lt;&gt;"",NOT(ISNUMBER(C7))),AND(F7&lt;&gt;"",OR(NOT(ISNUMBER(F7)),AND(G7&lt;&gt;"days",G7&lt;&gt;"months"))),AND(H7&lt;&gt;"",NOT(ISNUMBER(H7)))),1,IF(OR(D7&lt;=0,J7="",AND(ISNUMBER(J7),OR(J7&gt;Q7,J7&lt;Abstract!$B$27))),1,0)))</f>
        <v>0</v>
      </c>
      <c r="Q7" s="36" t="str">
        <f>IF(A7="","",IF(C7="",IF(ISNUMBER(Abstract!$B$29),Abstract!$B$29,""),C7))</f>
        <v/>
      </c>
      <c r="R7" s="18">
        <f>IF(OR(AND(C7&lt;&gt;"",NOT(ISNUMBER(C7))),AND(D7&lt;&gt;"",NOT(ISNUMBER(D7))),AND(F7&lt;&gt;"",NOT(ISNUMBER(F7))),AND(H7&lt;&gt;"",NOT(ISNUMBER(H7)))),1,0)</f>
        <v>0</v>
      </c>
    </row>
    <row r="8">
      <c r="A8" s="41" t="n"/>
      <c r="B8" s="16" t="n"/>
      <c r="C8" s="9" t="n"/>
      <c r="D8" s="42" t="n"/>
      <c r="E8" s="41" t="n"/>
      <c r="F8" s="42" t="n"/>
      <c r="G8" s="41" t="n"/>
      <c r="H8" s="42" t="n"/>
      <c r="I8" s="41" t="n"/>
      <c r="J8" s="36" t="str">
        <f>IF(A8="","",IF(OR(NOT(ISNUMBER(Q8)),NOT(ISNUMBER(D8))),"",IF(E8="days",Q8-D8,IF(E8="months",MIN(DATE(YEAR(Q8),MONTH(Q8)+(-D8),DAY(Q8)),EOMONTH(DATE(YEAR(Q8),MONTH(Q8)+(-D8),1),0)),""))))</f>
        <v/>
      </c>
      <c r="K8" s="36" t="str">
        <f>IF(OR(A8="",F8=""),"",IF(OR(NOT(ISNUMBER(Q8)),NOT(ISNUMBER(F8))),"",IF(G8="days",Q8-F8,IF(G8="months",MIN(DATE(YEAR(Q8),MONTH(Q8)+(-F8),DAY(Q8)),EOMONTH(DATE(YEAR(Q8),MONTH(Q8)+(-F8),1),0)),""))))</f>
        <v/>
      </c>
      <c r="L8" s="36" t="str">
        <f>IF(J8="","",J8-Abstract!$B$98)</f>
        <v/>
      </c>
      <c r="M8" s="36" t="str">
        <f>IF(AND(A8="Renewal",ISNUMBER(H8),ISNUMBER(Abstract!$B$29)),Abstract!$B$29+1,"")</f>
        <v/>
      </c>
      <c r="N8" s="36" t="str">
        <f>IF(M8="","",MIN(DATE(YEAR(M8),MONTH(M8)+(12*H8),DAY(M8)),EOMONTH(DATE(YEAR(M8),MONTH(M8)+(12*H8),1),0))-1)</f>
        <v/>
      </c>
      <c r="O8" s="43" t="str">
        <f>IF(A8="","",IF(ISNUMBER(D8),D8&amp;" "&amp;E8&amp;" before "&amp;IF(C8="","expiration","the date in column C"),""))</f>
        <v/>
      </c>
      <c r="P8" s="18">
        <f>IF(A8="",0,IF(OR(NOT(ISNUMBER(D8)),AND(E8&lt;&gt;"days",E8&lt;&gt;"months"),AND(C8&lt;&gt;"",NOT(ISNUMBER(C8))),AND(F8&lt;&gt;"",OR(NOT(ISNUMBER(F8)),AND(G8&lt;&gt;"days",G8&lt;&gt;"months"))),AND(H8&lt;&gt;"",NOT(ISNUMBER(H8)))),1,IF(OR(D8&lt;=0,J8="",AND(ISNUMBER(J8),OR(J8&gt;Q8,J8&lt;Abstract!$B$27))),1,0)))</f>
        <v>0</v>
      </c>
      <c r="Q8" s="36" t="str">
        <f>IF(A8="","",IF(C8="",IF(ISNUMBER(Abstract!$B$29),Abstract!$B$29,""),C8))</f>
        <v/>
      </c>
      <c r="R8" s="18">
        <f>IF(OR(AND(C8&lt;&gt;"",NOT(ISNUMBER(C8))),AND(D8&lt;&gt;"",NOT(ISNUMBER(D8))),AND(F8&lt;&gt;"",NOT(ISNUMBER(F8))),AND(H8&lt;&gt;"",NOT(ISNUMBER(H8)))),1,0)</f>
        <v>0</v>
      </c>
    </row>
  </sheetData>
  <dataValidations count="2">
    <dataValidation sqref="A6 A7 A8" showDropDown="0" showInputMessage="0" showErrorMessage="0" allowBlank="1" type="list">
      <formula1>"Renewal,Termination,Expansion,First offer,First refusal,Purchase,Other"</formula1>
    </dataValidation>
    <dataValidation sqref="E6 E7 E8 G6 G7 G8" showDropDown="0" showInputMessage="0" showErrorMessage="0" allowBlank="1" type="list">
      <formula1>"days,months"</formula1>
    </dataValidation>
  </dataValidations>
  <pageMargins left="0.75" right="0.75" top="1" bottom="1" header="0.5" footer="0.5"/>
  <pageSetup orientation="landscape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21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6" customWidth="1" min="3" max="3"/>
    <col width="13" customWidth="1" min="4" max="4"/>
    <col width="12" customWidth="1" min="5" max="5"/>
    <col width="12" customWidth="1" min="6" max="6"/>
    <col width="11" customWidth="1" min="7" max="7"/>
    <col width="18" customWidth="1" min="8" max="8"/>
    <col width="3" customWidth="1" min="9" max="9"/>
    <col width="12" customWidth="1" min="10" max="10"/>
    <col width="9" customWidth="1" min="11" max="11"/>
  </cols>
  <sheetData>
    <row r="1">
      <c r="A1" s="6" t="inlineStr">
        <is>
          <t>Critical dates</t>
        </is>
      </c>
    </row>
    <row r="2">
      <c r="A2" s="8" t="inlineStr">
        <is>
          <t>As of</t>
        </is>
      </c>
      <c r="B2" s="28">
        <f>IF(ISNUMBER(Abstract!$B$4),Abstract!$B$4,"")</f>
        <v>46327</v>
      </c>
    </row>
    <row r="3">
      <c r="A3" s="8" t="inlineStr">
        <is>
          <t>Next</t>
        </is>
      </c>
      <c r="B3" s="44">
        <f>IFERROR(IF(NOT(ISNUMBER($B$2)),"",IF(INDEX($B$6:$B$65,COUNTIF($B$6:$B$65,"&lt;"&amp;$B$2)+1)="","",INDEX($B$6:$B$65,COUNTIF($B$6:$B$65,"&lt;"&amp;$B$2)+1))),"")</f>
        <v>46447</v>
      </c>
      <c r="C3" s="45" t="str">
        <f>IFERROR(IF(B3="","",INDEX($C$6:$C$65,COUNTIF($B$6:$B$65,"&lt;"&amp;$B$2)+1)),"")</f>
        <v>Rent change, lease year 3</v>
      </c>
    </row>
    <row r="5" ht="42" customHeight="1">
      <c r="A5" s="11" t="inlineStr">
        <is>
          <t>#</t>
        </is>
      </c>
      <c r="B5" s="11" t="inlineStr">
        <is>
          <t>Date</t>
        </is>
      </c>
      <c r="C5" s="11" t="inlineStr">
        <is>
          <t>Event</t>
        </is>
      </c>
      <c r="D5" s="11" t="inlineStr">
        <is>
          <t>Amount</t>
        </is>
      </c>
      <c r="E5" s="11" t="inlineStr">
        <is>
          <t>Raise on</t>
        </is>
      </c>
      <c r="F5" s="11" t="inlineStr">
        <is>
          <t>Days from the as-of date</t>
        </is>
      </c>
      <c r="G5" s="11" t="inlineStr">
        <is>
          <t>Status</t>
        </is>
      </c>
      <c r="H5" s="11" t="inlineStr">
        <is>
          <t>Lease reference</t>
        </is>
      </c>
      <c r="J5" s="11" t="inlineStr">
        <is>
          <t>helper: key</t>
        </is>
      </c>
      <c r="K5" s="11" t="inlineStr">
        <is>
          <t>helper: row</t>
        </is>
      </c>
    </row>
    <row r="6">
      <c r="A6" s="18">
        <f>IF(B6="","",ROW()-ROW($A$5))</f>
        <v>1</v>
      </c>
      <c r="B6" s="36">
        <f>IF(K6="","",IF(INDEX($A$70:$A$121,K6)="","",INDEX($A$70:$A$121,K6)))</f>
        <v>45717</v>
      </c>
      <c r="C6" s="43" t="str">
        <f>IF(K6="","",IF(INDEX($B$70:$B$121,K6)="","",INDEX($B$70:$B$121,K6)))</f>
        <v>Commencement</v>
      </c>
      <c r="D6" s="25" t="str">
        <f>IF(K6="","",IF(INDEX($C$70:$C$121,K6)="","",INDEX($C$70:$C$121,K6)))</f>
        <v/>
      </c>
      <c r="E6" s="36" t="str">
        <f>IF(K6="","",IF(INDEX($D$70:$D$121,K6)="","",INDEX($D$70:$D$121,K6)))</f>
        <v/>
      </c>
      <c r="F6" s="18">
        <f>IF(OR(B6="",NOT(ISNUMBER($B$2))),"",B6-$B$2)</f>
        <v>-610</v>
      </c>
      <c r="G6" s="43" t="str">
        <f>IF(OR(B6="",NOT(ISNUMBER($B$2))),"",IF(B6&lt;$B$2,"Passed",IF(B6=$B$2,"Today",IF(AND(E6&lt;&gt;"",E6&lt;=$B$2),"Raise now","Later"))))</f>
        <v>Passed</v>
      </c>
      <c r="H6" s="43" t="str">
        <f>IF(K6="","",IF(INDEX($E$70:$E$121,K6)="","",INDEX($E$70:$E$121,K6)))</f>
        <v>§3.1</v>
      </c>
      <c r="J6" s="46">
        <f>IFERROR(SMALL($F$70:$F$121,ROW()-ROW($J$5)),"")</f>
        <v>45717.001</v>
      </c>
      <c r="K6" s="18">
        <f>IF(J6="","",MATCH(J6,$F$70:$F$121,0))</f>
        <v>1</v>
      </c>
    </row>
    <row r="7">
      <c r="A7" s="18">
        <f>IF(B7="","",ROW()-ROW($A$5))</f>
        <v>2</v>
      </c>
      <c r="B7" s="36">
        <f>IF(K7="","",IF(INDEX($A$70:$A$121,K7)="","",INDEX($A$70:$A$121,K7)))</f>
        <v>46082</v>
      </c>
      <c r="C7" s="43" t="str">
        <f>IF(K7="","",IF(INDEX($B$70:$B$121,K7)="","",INDEX($B$70:$B$121,K7)))</f>
        <v>Rent change, lease year 2</v>
      </c>
      <c r="D7" s="25">
        <f>IF(K7="","",IF(INDEX($C$70:$C$121,K7)="","",INDEX($C$70:$C$121,K7)))</f>
        <v>6180</v>
      </c>
      <c r="E7" s="36">
        <f>IF(K7="","",IF(INDEX($D$70:$D$121,K7)="","",INDEX($D$70:$D$121,K7)))</f>
        <v>46022</v>
      </c>
      <c r="F7" s="18">
        <f>IF(OR(B7="",NOT(ISNUMBER($B$2))),"",B7-$B$2)</f>
        <v>-245</v>
      </c>
      <c r="G7" s="43" t="str">
        <f>IF(OR(B7="",NOT(ISNUMBER($B$2))),"",IF(B7&lt;$B$2,"Passed",IF(B7=$B$2,"Today",IF(AND(E7&lt;&gt;"",E7&lt;=$B$2),"Raise now","Later"))))</f>
        <v>Passed</v>
      </c>
      <c r="H7" s="43" t="str">
        <f>IF(K7="","",IF(INDEX($E$70:$E$121,K7)="","",INDEX($E$70:$E$121,K7)))</f>
        <v>§4.2</v>
      </c>
      <c r="J7" s="46">
        <f>IFERROR(SMALL($F$70:$F$121,ROW()-ROW($J$5)),"")</f>
        <v>46082.003</v>
      </c>
      <c r="K7" s="18">
        <f>IF(J7="","",MATCH(J7,$F$70:$F$121,0))</f>
        <v>3</v>
      </c>
    </row>
    <row r="8">
      <c r="A8" s="18">
        <f>IF(B8="","",ROW()-ROW($A$5))</f>
        <v>3</v>
      </c>
      <c r="B8" s="36">
        <f>IF(K8="","",IF(INDEX($A$70:$A$121,K8)="","",INDEX($A$70:$A$121,K8)))</f>
        <v>46142</v>
      </c>
      <c r="C8" s="43" t="str">
        <f>IF(K8="","",IF(INDEX($B$70:$B$121,K8)="","",INDEX($B$70:$B$121,K8)))</f>
        <v>Reconciliation statement due, 2025</v>
      </c>
      <c r="D8" s="25" t="str">
        <f>IF(K8="","",IF(INDEX($C$70:$C$121,K8)="","",INDEX($C$70:$C$121,K8)))</f>
        <v/>
      </c>
      <c r="E8" s="36" t="str">
        <f>IF(K8="","",IF(INDEX($D$70:$D$121,K8)="","",INDEX($D$70:$D$121,K8)))</f>
        <v/>
      </c>
      <c r="F8" s="18">
        <f>IF(OR(B8="",NOT(ISNUMBER($B$2))),"",B8-$B$2)</f>
        <v>-185</v>
      </c>
      <c r="G8" s="43" t="str">
        <f>IF(OR(B8="",NOT(ISNUMBER($B$2))),"",IF(B8&lt;$B$2,"Passed",IF(B8=$B$2,"Today",IF(AND(E8&lt;&gt;"",E8&lt;=$B$2),"Raise now","Later"))))</f>
        <v>Passed</v>
      </c>
      <c r="H8" s="43" t="str">
        <f>IF(K8="","",IF(INDEX($E$70:$E$121,K8)="","",INDEX($E$70:$E$121,K8)))</f>
        <v>§5.5</v>
      </c>
      <c r="J8" s="46">
        <f>IFERROR(SMALL($F$70:$F$121,ROW()-ROW($J$5)),"")</f>
        <v>46142.03</v>
      </c>
      <c r="K8" s="18">
        <f>IF(J8="","",MATCH(J8,$F$70:$F$121,0))</f>
        <v>30</v>
      </c>
    </row>
    <row r="9">
      <c r="A9" s="18">
        <f>IF(B9="","",ROW()-ROW($A$5))</f>
        <v>4</v>
      </c>
      <c r="B9" s="36">
        <f>IF(K9="","",IF(INDEX($A$70:$A$121,K9)="","",INDEX($A$70:$A$121,K9)))</f>
        <v>46447</v>
      </c>
      <c r="C9" s="43" t="str">
        <f>IF(K9="","",IF(INDEX($B$70:$B$121,K9)="","",INDEX($B$70:$B$121,K9)))</f>
        <v>Rent change, lease year 3</v>
      </c>
      <c r="D9" s="25">
        <f>IF(K9="","",IF(INDEX($C$70:$C$121,K9)="","",INDEX($C$70:$C$121,K9)))</f>
        <v>6365.4</v>
      </c>
      <c r="E9" s="36">
        <f>IF(K9="","",IF(INDEX($D$70:$D$121,K9)="","",INDEX($D$70:$D$121,K9)))</f>
        <v>46387</v>
      </c>
      <c r="F9" s="18">
        <f>IF(OR(B9="",NOT(ISNUMBER($B$2))),"",B9-$B$2)</f>
        <v>120</v>
      </c>
      <c r="G9" s="43" t="str">
        <f>IF(OR(B9="",NOT(ISNUMBER($B$2))),"",IF(B9&lt;$B$2,"Passed",IF(B9=$B$2,"Today",IF(AND(E9&lt;&gt;"",E9&lt;=$B$2),"Raise now","Later"))))</f>
        <v>Later</v>
      </c>
      <c r="H9" s="43" t="str">
        <f>IF(K9="","",IF(INDEX($E$70:$E$121,K9)="","",INDEX($E$70:$E$121,K9)))</f>
        <v>§4.2</v>
      </c>
      <c r="J9" s="46">
        <f>IFERROR(SMALL($F$70:$F$121,ROW()-ROW($J$5)),"")</f>
        <v>46447.004</v>
      </c>
      <c r="K9" s="18">
        <f>IF(J9="","",MATCH(J9,$F$70:$F$121,0))</f>
        <v>4</v>
      </c>
    </row>
    <row r="10">
      <c r="A10" s="18">
        <f>IF(B10="","",ROW()-ROW($A$5))</f>
        <v>5</v>
      </c>
      <c r="B10" s="36">
        <f>IF(K10="","",IF(INDEX($A$70:$A$121,K10)="","",INDEX($A$70:$A$121,K10)))</f>
        <v>46507</v>
      </c>
      <c r="C10" s="43" t="str">
        <f>IF(K10="","",IF(INDEX($B$70:$B$121,K10)="","",INDEX($B$70:$B$121,K10)))</f>
        <v>Reconciliation statement due, 2026</v>
      </c>
      <c r="D10" s="25" t="str">
        <f>IF(K10="","",IF(INDEX($C$70:$C$121,K10)="","",INDEX($C$70:$C$121,K10)))</f>
        <v/>
      </c>
      <c r="E10" s="36" t="str">
        <f>IF(K10="","",IF(INDEX($D$70:$D$121,K10)="","",INDEX($D$70:$D$121,K10)))</f>
        <v/>
      </c>
      <c r="F10" s="18">
        <f>IF(OR(B10="",NOT(ISNUMBER($B$2))),"",B10-$B$2)</f>
        <v>180</v>
      </c>
      <c r="G10" s="43" t="str">
        <f>IF(OR(B10="",NOT(ISNUMBER($B$2))),"",IF(B10&lt;$B$2,"Passed",IF(B10=$B$2,"Today",IF(AND(E10&lt;&gt;"",E10&lt;=$B$2),"Raise now","Later"))))</f>
        <v>Later</v>
      </c>
      <c r="H10" s="43" t="str">
        <f>IF(K10="","",IF(INDEX($E$70:$E$121,K10)="","",INDEX($E$70:$E$121,K10)))</f>
        <v>§5.5</v>
      </c>
      <c r="J10" s="46">
        <f>IFERROR(SMALL($F$70:$F$121,ROW()-ROW($J$5)),"")</f>
        <v>46507.031</v>
      </c>
      <c r="K10" s="18">
        <f>IF(J10="","",MATCH(J10,$F$70:$F$121,0))</f>
        <v>31</v>
      </c>
    </row>
    <row r="11">
      <c r="A11" s="18">
        <f>IF(B11="","",ROW()-ROW($A$5))</f>
        <v>6</v>
      </c>
      <c r="B11" s="36">
        <f>IF(K11="","",IF(INDEX($A$70:$A$121,K11)="","",INDEX($A$70:$A$121,K11)))</f>
        <v>46568</v>
      </c>
      <c r="C11" s="43" t="str">
        <f>IF(K11="","",IF(INDEX($B$70:$B$121,K11)="","",INDEX($B$70:$B$121,K11)))</f>
        <v>Certificate of insurance on file expires</v>
      </c>
      <c r="D11" s="25" t="str">
        <f>IF(K11="","",IF(INDEX($C$70:$C$121,K11)="","",INDEX($C$70:$C$121,K11)))</f>
        <v/>
      </c>
      <c r="E11" s="36">
        <f>IF(K11="","",IF(INDEX($D$70:$D$121,K11)="","",INDEX($D$70:$D$121,K11)))</f>
        <v>46538</v>
      </c>
      <c r="F11" s="18">
        <f>IF(OR(B11="",NOT(ISNUMBER($B$2))),"",B11-$B$2)</f>
        <v>241</v>
      </c>
      <c r="G11" s="43" t="str">
        <f>IF(OR(B11="",NOT(ISNUMBER($B$2))),"",IF(B11&lt;$B$2,"Passed",IF(B11=$B$2,"Today",IF(AND(E11&lt;&gt;"",E11&lt;=$B$2),"Raise now","Later"))))</f>
        <v>Later</v>
      </c>
      <c r="H11" s="43" t="str">
        <f>IF(K11="","",IF(INDEX($E$70:$E$121,K11)="","",INDEX($E$70:$E$121,K11)))</f>
        <v>Certificate on file</v>
      </c>
      <c r="J11" s="46">
        <f>IFERROR(SMALL($F$70:$F$121,ROW()-ROW($J$5)),"")</f>
        <v>46568.051</v>
      </c>
      <c r="K11" s="18">
        <f>IF(J11="","",MATCH(J11,$F$70:$F$121,0))</f>
        <v>51</v>
      </c>
    </row>
    <row r="12">
      <c r="A12" s="18">
        <f>IF(B12="","",ROW()-ROW($A$5))</f>
        <v>7</v>
      </c>
      <c r="B12" s="36">
        <f>IF(K12="","",IF(INDEX($A$70:$A$121,K12)="","",INDEX($A$70:$A$121,K12)))</f>
        <v>46813</v>
      </c>
      <c r="C12" s="43" t="str">
        <f>IF(K12="","",IF(INDEX($B$70:$B$121,K12)="","",INDEX($B$70:$B$121,K12)))</f>
        <v>Rent change, lease year 4</v>
      </c>
      <c r="D12" s="25">
        <f>IF(K12="","",IF(INDEX($C$70:$C$121,K12)="","",INDEX($C$70:$C$121,K12)))</f>
        <v>6556.36</v>
      </c>
      <c r="E12" s="36">
        <f>IF(K12="","",IF(INDEX($D$70:$D$121,K12)="","",INDEX($D$70:$D$121,K12)))</f>
        <v>46753</v>
      </c>
      <c r="F12" s="18">
        <f>IF(OR(B12="",NOT(ISNUMBER($B$2))),"",B12-$B$2)</f>
        <v>486</v>
      </c>
      <c r="G12" s="43" t="str">
        <f>IF(OR(B12="",NOT(ISNUMBER($B$2))),"",IF(B12&lt;$B$2,"Passed",IF(B12=$B$2,"Today",IF(AND(E12&lt;&gt;"",E12&lt;=$B$2),"Raise now","Later"))))</f>
        <v>Later</v>
      </c>
      <c r="H12" s="43" t="str">
        <f>IF(K12="","",IF(INDEX($E$70:$E$121,K12)="","",INDEX($E$70:$E$121,K12)))</f>
        <v>§4.2</v>
      </c>
      <c r="J12" s="46">
        <f>IFERROR(SMALL($F$70:$F$121,ROW()-ROW($J$5)),"")</f>
        <v>46813.005</v>
      </c>
      <c r="K12" s="18">
        <f>IF(J12="","",MATCH(J12,$F$70:$F$121,0))</f>
        <v>5</v>
      </c>
    </row>
    <row r="13">
      <c r="A13" s="18">
        <f>IF(B13="","",ROW()-ROW($A$5))</f>
        <v>8</v>
      </c>
      <c r="B13" s="36">
        <f>IF(K13="","",IF(INDEX($A$70:$A$121,K13)="","",INDEX($A$70:$A$121,K13)))</f>
        <v>46848</v>
      </c>
      <c r="C13" s="43" t="str">
        <f>IF(K13="","",IF(INDEX($B$70:$B$121,K13)="","",INDEX($B$70:$B$121,K13)))</f>
        <v>Renewal option: notice deadline</v>
      </c>
      <c r="D13" s="25" t="str">
        <f>IF(K13="","",IF(INDEX($C$70:$C$121,K13)="","",INDEX($C$70:$C$121,K13)))</f>
        <v/>
      </c>
      <c r="E13" s="36">
        <f>IF(K13="","",IF(INDEX($D$70:$D$121,K13)="","",INDEX($D$70:$D$121,K13)))</f>
        <v>46758</v>
      </c>
      <c r="F13" s="18">
        <f>IF(OR(B13="",NOT(ISNUMBER($B$2))),"",B13-$B$2)</f>
        <v>521</v>
      </c>
      <c r="G13" s="43" t="str">
        <f>IF(OR(B13="",NOT(ISNUMBER($B$2))),"",IF(B13&lt;$B$2,"Passed",IF(B13=$B$2,"Today",IF(AND(E13&lt;&gt;"",E13&lt;=$B$2),"Raise now","Later"))))</f>
        <v>Later</v>
      </c>
      <c r="H13" s="43" t="str">
        <f>IF(K13="","",IF(INDEX($E$70:$E$121,K13)="","",INDEX($E$70:$E$121,K13)))</f>
        <v>§20</v>
      </c>
      <c r="J13" s="46">
        <f>IFERROR(SMALL($F$70:$F$121,ROW()-ROW($J$5)),"")</f>
        <v>46848.022</v>
      </c>
      <c r="K13" s="18">
        <f>IF(J13="","",MATCH(J13,$F$70:$F$121,0))</f>
        <v>22</v>
      </c>
    </row>
    <row r="14">
      <c r="A14" s="18">
        <f>IF(B14="","",ROW()-ROW($A$5))</f>
        <v>9</v>
      </c>
      <c r="B14" s="36">
        <f>IF(K14="","",IF(INDEX($A$70:$A$121,K14)="","",INDEX($A$70:$A$121,K14)))</f>
        <v>46872</v>
      </c>
      <c r="C14" s="43" t="str">
        <f>IF(K14="","",IF(INDEX($B$70:$B$121,K14)="","",INDEX($B$70:$B$121,K14)))</f>
        <v>Reconciliation statement due, 2027</v>
      </c>
      <c r="D14" s="25" t="str">
        <f>IF(K14="","",IF(INDEX($C$70:$C$121,K14)="","",INDEX($C$70:$C$121,K14)))</f>
        <v/>
      </c>
      <c r="E14" s="36" t="str">
        <f>IF(K14="","",IF(INDEX($D$70:$D$121,K14)="","",INDEX($D$70:$D$121,K14)))</f>
        <v/>
      </c>
      <c r="F14" s="18">
        <f>IF(OR(B14="",NOT(ISNUMBER($B$2))),"",B14-$B$2)</f>
        <v>545</v>
      </c>
      <c r="G14" s="43" t="str">
        <f>IF(OR(B14="",NOT(ISNUMBER($B$2))),"",IF(B14&lt;$B$2,"Passed",IF(B14=$B$2,"Today",IF(AND(E14&lt;&gt;"",E14&lt;=$B$2),"Raise now","Later"))))</f>
        <v>Later</v>
      </c>
      <c r="H14" s="43" t="str">
        <f>IF(K14="","",IF(INDEX($E$70:$E$121,K14)="","",INDEX($E$70:$E$121,K14)))</f>
        <v>§5.5</v>
      </c>
      <c r="J14" s="46">
        <f>IFERROR(SMALL($F$70:$F$121,ROW()-ROW($J$5)),"")</f>
        <v>46872.032</v>
      </c>
      <c r="K14" s="18">
        <f>IF(J14="","",MATCH(J14,$F$70:$F$121,0))</f>
        <v>32</v>
      </c>
    </row>
    <row r="15">
      <c r="A15" s="18">
        <f>IF(B15="","",ROW()-ROW($A$5))</f>
        <v>10</v>
      </c>
      <c r="B15" s="36">
        <f>IF(K15="","",IF(INDEX($A$70:$A$121,K15)="","",INDEX($A$70:$A$121,K15)))</f>
        <v>47118</v>
      </c>
      <c r="C15" s="43" t="str">
        <f>IF(K15="","",IF(INDEX($B$70:$B$121,K15)="","",INDEX($B$70:$B$121,K15)))</f>
        <v>Expiration</v>
      </c>
      <c r="D15" s="25" t="str">
        <f>IF(K15="","",IF(INDEX($C$70:$C$121,K15)="","",INDEX($C$70:$C$121,K15)))</f>
        <v/>
      </c>
      <c r="E15" s="36">
        <f>IF(K15="","",IF(INDEX($D$70:$D$121,K15)="","",INDEX($D$70:$D$121,K15)))</f>
        <v>46938</v>
      </c>
      <c r="F15" s="18">
        <f>IF(OR(B15="",NOT(ISNUMBER($B$2))),"",B15-$B$2)</f>
        <v>791</v>
      </c>
      <c r="G15" s="43" t="str">
        <f>IF(OR(B15="",NOT(ISNUMBER($B$2))),"",IF(B15&lt;$B$2,"Passed",IF(B15=$B$2,"Today",IF(AND(E15&lt;&gt;"",E15&lt;=$B$2),"Raise now","Later"))))</f>
        <v>Later</v>
      </c>
      <c r="H15" s="43" t="str">
        <f>IF(K15="","",IF(INDEX($E$70:$E$121,K15)="","",INDEX($E$70:$E$121,K15)))</f>
        <v>§3.2</v>
      </c>
      <c r="J15" s="46">
        <f>IFERROR(SMALL($F$70:$F$121,ROW()-ROW($J$5)),"")</f>
        <v>47118.028</v>
      </c>
      <c r="K15" s="18">
        <f>IF(J15="","",MATCH(J15,$F$70:$F$121,0))</f>
        <v>28</v>
      </c>
    </row>
    <row r="16">
      <c r="A16" s="18">
        <f>IF(B16="","",ROW()-ROW($A$5))</f>
        <v>11</v>
      </c>
      <c r="B16" s="36">
        <f>IF(K16="","",IF(INDEX($A$70:$A$121,K16)="","",INDEX($A$70:$A$121,K16)))</f>
        <v>47119</v>
      </c>
      <c r="C16" s="43" t="str">
        <f>IF(K16="","",IF(INDEX($B$70:$B$121,K16)="","",INDEX($B$70:$B$121,K16)))</f>
        <v>Holdover rent, if the tenant stays without a renewal</v>
      </c>
      <c r="D16" s="25">
        <f>IF(K16="","",IF(INDEX($C$70:$C$121,K16)="","",INDEX($C$70:$C$121,K16)))</f>
        <v>9834.54</v>
      </c>
      <c r="E16" s="36" t="str">
        <f>IF(K16="","",IF(INDEX($D$70:$D$121,K16)="","",INDEX($D$70:$D$121,K16)))</f>
        <v/>
      </c>
      <c r="F16" s="18">
        <f>IF(OR(B16="",NOT(ISNUMBER($B$2))),"",B16-$B$2)</f>
        <v>792</v>
      </c>
      <c r="G16" s="43" t="str">
        <f>IF(OR(B16="",NOT(ISNUMBER($B$2))),"",IF(B16&lt;$B$2,"Passed",IF(B16=$B$2,"Today",IF(AND(E16&lt;&gt;"",E16&lt;=$B$2),"Raise now","Later"))))</f>
        <v>Later</v>
      </c>
      <c r="H16" s="43" t="str">
        <f>IF(K16="","",IF(INDEX($E$70:$E$121,K16)="","",INDEX($E$70:$E$121,K16)))</f>
        <v>§21</v>
      </c>
      <c r="J16" s="46">
        <f>IFERROR(SMALL($F$70:$F$121,ROW()-ROW($J$5)),"")</f>
        <v>47119.029</v>
      </c>
      <c r="K16" s="18">
        <f>IF(J16="","",MATCH(J16,$F$70:$F$121,0))</f>
        <v>29</v>
      </c>
    </row>
    <row r="17">
      <c r="A17" s="18">
        <f>IF(B17="","",ROW()-ROW($A$5))</f>
        <v>12</v>
      </c>
      <c r="B17" s="36">
        <f>IF(K17="","",IF(INDEX($A$70:$A$121,K17)="","",INDEX($A$70:$A$121,K17)))</f>
        <v>47238</v>
      </c>
      <c r="C17" s="43" t="str">
        <f>IF(K17="","",IF(INDEX($B$70:$B$121,K17)="","",INDEX($B$70:$B$121,K17)))</f>
        <v>Reconciliation statement due, 2028</v>
      </c>
      <c r="D17" s="25" t="str">
        <f>IF(K17="","",IF(INDEX($C$70:$C$121,K17)="","",INDEX($C$70:$C$121,K17)))</f>
        <v/>
      </c>
      <c r="E17" s="36" t="str">
        <f>IF(K17="","",IF(INDEX($D$70:$D$121,K17)="","",INDEX($D$70:$D$121,K17)))</f>
        <v/>
      </c>
      <c r="F17" s="18">
        <f>IF(OR(B17="",NOT(ISNUMBER($B$2))),"",B17-$B$2)</f>
        <v>911</v>
      </c>
      <c r="G17" s="43" t="str">
        <f>IF(OR(B17="",NOT(ISNUMBER($B$2))),"",IF(B17&lt;$B$2,"Passed",IF(B17=$B$2,"Today",IF(AND(E17&lt;&gt;"",E17&lt;=$B$2),"Raise now","Later"))))</f>
        <v>Later</v>
      </c>
      <c r="H17" s="43" t="str">
        <f>IF(K17="","",IF(INDEX($E$70:$E$121,K17)="","",INDEX($E$70:$E$121,K17)))</f>
        <v>§5.5</v>
      </c>
      <c r="J17" s="46">
        <f>IFERROR(SMALL($F$70:$F$121,ROW()-ROW($J$5)),"")</f>
        <v>47238.033</v>
      </c>
      <c r="K17" s="18">
        <f>IF(J17="","",MATCH(J17,$F$70:$F$121,0))</f>
        <v>33</v>
      </c>
    </row>
    <row r="18">
      <c r="A18" s="18" t="str">
        <f>IF(B18="","",ROW()-ROW($A$5))</f>
        <v/>
      </c>
      <c r="B18" s="36" t="str">
        <f>IF(K18="","",IF(INDEX($A$70:$A$121,K18)="","",INDEX($A$70:$A$121,K18)))</f>
        <v/>
      </c>
      <c r="C18" s="43" t="str">
        <f>IF(K18="","",IF(INDEX($B$70:$B$121,K18)="","",INDEX($B$70:$B$121,K18)))</f>
        <v/>
      </c>
      <c r="D18" s="25" t="str">
        <f>IF(K18="","",IF(INDEX($C$70:$C$121,K18)="","",INDEX($C$70:$C$121,K18)))</f>
        <v/>
      </c>
      <c r="E18" s="36" t="str">
        <f>IF(K18="","",IF(INDEX($D$70:$D$121,K18)="","",INDEX($D$70:$D$121,K18)))</f>
        <v/>
      </c>
      <c r="F18" s="18" t="str">
        <f>IF(OR(B18="",NOT(ISNUMBER($B$2))),"",B18-$B$2)</f>
        <v/>
      </c>
      <c r="G18" s="43" t="str">
        <f>IF(OR(B18="",NOT(ISNUMBER($B$2))),"",IF(B18&lt;$B$2,"Passed",IF(B18=$B$2,"Today",IF(AND(E18&lt;&gt;"",E18&lt;=$B$2),"Raise now","Later"))))</f>
        <v/>
      </c>
      <c r="H18" s="43" t="str">
        <f>IF(K18="","",IF(INDEX($E$70:$E$121,K18)="","",INDEX($E$70:$E$121,K18)))</f>
        <v/>
      </c>
      <c r="J18" s="46" t="str">
        <f>IFERROR(SMALL($F$70:$F$121,ROW()-ROW($J$5)),"")</f>
        <v/>
      </c>
      <c r="K18" s="18" t="str">
        <f>IF(J18="","",MATCH(J18,$F$70:$F$121,0))</f>
        <v/>
      </c>
    </row>
    <row r="19">
      <c r="A19" s="18" t="str">
        <f>IF(B19="","",ROW()-ROW($A$5))</f>
        <v/>
      </c>
      <c r="B19" s="36" t="str">
        <f>IF(K19="","",IF(INDEX($A$70:$A$121,K19)="","",INDEX($A$70:$A$121,K19)))</f>
        <v/>
      </c>
      <c r="C19" s="43" t="str">
        <f>IF(K19="","",IF(INDEX($B$70:$B$121,K19)="","",INDEX($B$70:$B$121,K19)))</f>
        <v/>
      </c>
      <c r="D19" s="25" t="str">
        <f>IF(K19="","",IF(INDEX($C$70:$C$121,K19)="","",INDEX($C$70:$C$121,K19)))</f>
        <v/>
      </c>
      <c r="E19" s="36" t="str">
        <f>IF(K19="","",IF(INDEX($D$70:$D$121,K19)="","",INDEX($D$70:$D$121,K19)))</f>
        <v/>
      </c>
      <c r="F19" s="18" t="str">
        <f>IF(OR(B19="",NOT(ISNUMBER($B$2))),"",B19-$B$2)</f>
        <v/>
      </c>
      <c r="G19" s="43" t="str">
        <f>IF(OR(B19="",NOT(ISNUMBER($B$2))),"",IF(B19&lt;$B$2,"Passed",IF(B19=$B$2,"Today",IF(AND(E19&lt;&gt;"",E19&lt;=$B$2),"Raise now","Later"))))</f>
        <v/>
      </c>
      <c r="H19" s="43" t="str">
        <f>IF(K19="","",IF(INDEX($E$70:$E$121,K19)="","",INDEX($E$70:$E$121,K19)))</f>
        <v/>
      </c>
      <c r="J19" s="46" t="str">
        <f>IFERROR(SMALL($F$70:$F$121,ROW()-ROW($J$5)),"")</f>
        <v/>
      </c>
      <c r="K19" s="18" t="str">
        <f>IF(J19="","",MATCH(J19,$F$70:$F$121,0))</f>
        <v/>
      </c>
    </row>
    <row r="20">
      <c r="A20" s="18" t="str">
        <f>IF(B20="","",ROW()-ROW($A$5))</f>
        <v/>
      </c>
      <c r="B20" s="36" t="str">
        <f>IF(K20="","",IF(INDEX($A$70:$A$121,K20)="","",INDEX($A$70:$A$121,K20)))</f>
        <v/>
      </c>
      <c r="C20" s="43" t="str">
        <f>IF(K20="","",IF(INDEX($B$70:$B$121,K20)="","",INDEX($B$70:$B$121,K20)))</f>
        <v/>
      </c>
      <c r="D20" s="25" t="str">
        <f>IF(K20="","",IF(INDEX($C$70:$C$121,K20)="","",INDEX($C$70:$C$121,K20)))</f>
        <v/>
      </c>
      <c r="E20" s="36" t="str">
        <f>IF(K20="","",IF(INDEX($D$70:$D$121,K20)="","",INDEX($D$70:$D$121,K20)))</f>
        <v/>
      </c>
      <c r="F20" s="18" t="str">
        <f>IF(OR(B20="",NOT(ISNUMBER($B$2))),"",B20-$B$2)</f>
        <v/>
      </c>
      <c r="G20" s="43" t="str">
        <f>IF(OR(B20="",NOT(ISNUMBER($B$2))),"",IF(B20&lt;$B$2,"Passed",IF(B20=$B$2,"Today",IF(AND(E20&lt;&gt;"",E20&lt;=$B$2),"Raise now","Later"))))</f>
        <v/>
      </c>
      <c r="H20" s="43" t="str">
        <f>IF(K20="","",IF(INDEX($E$70:$E$121,K20)="","",INDEX($E$70:$E$121,K20)))</f>
        <v/>
      </c>
      <c r="J20" s="46" t="str">
        <f>IFERROR(SMALL($F$70:$F$121,ROW()-ROW($J$5)),"")</f>
        <v/>
      </c>
      <c r="K20" s="18" t="str">
        <f>IF(J20="","",MATCH(J20,$F$70:$F$121,0))</f>
        <v/>
      </c>
    </row>
    <row r="21">
      <c r="A21" s="18" t="str">
        <f>IF(B21="","",ROW()-ROW($A$5))</f>
        <v/>
      </c>
      <c r="B21" s="36" t="str">
        <f>IF(K21="","",IF(INDEX($A$70:$A$121,K21)="","",INDEX($A$70:$A$121,K21)))</f>
        <v/>
      </c>
      <c r="C21" s="43" t="str">
        <f>IF(K21="","",IF(INDEX($B$70:$B$121,K21)="","",INDEX($B$70:$B$121,K21)))</f>
        <v/>
      </c>
      <c r="D21" s="25" t="str">
        <f>IF(K21="","",IF(INDEX($C$70:$C$121,K21)="","",INDEX($C$70:$C$121,K21)))</f>
        <v/>
      </c>
      <c r="E21" s="36" t="str">
        <f>IF(K21="","",IF(INDEX($D$70:$D$121,K21)="","",INDEX($D$70:$D$121,K21)))</f>
        <v/>
      </c>
      <c r="F21" s="18" t="str">
        <f>IF(OR(B21="",NOT(ISNUMBER($B$2))),"",B21-$B$2)</f>
        <v/>
      </c>
      <c r="G21" s="43" t="str">
        <f>IF(OR(B21="",NOT(ISNUMBER($B$2))),"",IF(B21&lt;$B$2,"Passed",IF(B21=$B$2,"Today",IF(AND(E21&lt;&gt;"",E21&lt;=$B$2),"Raise now","Later"))))</f>
        <v/>
      </c>
      <c r="H21" s="43" t="str">
        <f>IF(K21="","",IF(INDEX($E$70:$E$121,K21)="","",INDEX($E$70:$E$121,K21)))</f>
        <v/>
      </c>
      <c r="J21" s="46" t="str">
        <f>IFERROR(SMALL($F$70:$F$121,ROW()-ROW($J$5)),"")</f>
        <v/>
      </c>
      <c r="K21" s="18" t="str">
        <f>IF(J21="","",MATCH(J21,$F$70:$F$121,0))</f>
        <v/>
      </c>
    </row>
    <row r="22">
      <c r="A22" s="18" t="str">
        <f>IF(B22="","",ROW()-ROW($A$5))</f>
        <v/>
      </c>
      <c r="B22" s="36" t="str">
        <f>IF(K22="","",IF(INDEX($A$70:$A$121,K22)="","",INDEX($A$70:$A$121,K22)))</f>
        <v/>
      </c>
      <c r="C22" s="43" t="str">
        <f>IF(K22="","",IF(INDEX($B$70:$B$121,K22)="","",INDEX($B$70:$B$121,K22)))</f>
        <v/>
      </c>
      <c r="D22" s="25" t="str">
        <f>IF(K22="","",IF(INDEX($C$70:$C$121,K22)="","",INDEX($C$70:$C$121,K22)))</f>
        <v/>
      </c>
      <c r="E22" s="36" t="str">
        <f>IF(K22="","",IF(INDEX($D$70:$D$121,K22)="","",INDEX($D$70:$D$121,K22)))</f>
        <v/>
      </c>
      <c r="F22" s="18" t="str">
        <f>IF(OR(B22="",NOT(ISNUMBER($B$2))),"",B22-$B$2)</f>
        <v/>
      </c>
      <c r="G22" s="43" t="str">
        <f>IF(OR(B22="",NOT(ISNUMBER($B$2))),"",IF(B22&lt;$B$2,"Passed",IF(B22=$B$2,"Today",IF(AND(E22&lt;&gt;"",E22&lt;=$B$2),"Raise now","Later"))))</f>
        <v/>
      </c>
      <c r="H22" s="43" t="str">
        <f>IF(K22="","",IF(INDEX($E$70:$E$121,K22)="","",INDEX($E$70:$E$121,K22)))</f>
        <v/>
      </c>
      <c r="J22" s="46" t="str">
        <f>IFERROR(SMALL($F$70:$F$121,ROW()-ROW($J$5)),"")</f>
        <v/>
      </c>
      <c r="K22" s="18" t="str">
        <f>IF(J22="","",MATCH(J22,$F$70:$F$121,0))</f>
        <v/>
      </c>
    </row>
    <row r="23">
      <c r="A23" s="18" t="str">
        <f>IF(B23="","",ROW()-ROW($A$5))</f>
        <v/>
      </c>
      <c r="B23" s="36" t="str">
        <f>IF(K23="","",IF(INDEX($A$70:$A$121,K23)="","",INDEX($A$70:$A$121,K23)))</f>
        <v/>
      </c>
      <c r="C23" s="43" t="str">
        <f>IF(K23="","",IF(INDEX($B$70:$B$121,K23)="","",INDEX($B$70:$B$121,K23)))</f>
        <v/>
      </c>
      <c r="D23" s="25" t="str">
        <f>IF(K23="","",IF(INDEX($C$70:$C$121,K23)="","",INDEX($C$70:$C$121,K23)))</f>
        <v/>
      </c>
      <c r="E23" s="36" t="str">
        <f>IF(K23="","",IF(INDEX($D$70:$D$121,K23)="","",INDEX($D$70:$D$121,K23)))</f>
        <v/>
      </c>
      <c r="F23" s="18" t="str">
        <f>IF(OR(B23="",NOT(ISNUMBER($B$2))),"",B23-$B$2)</f>
        <v/>
      </c>
      <c r="G23" s="43" t="str">
        <f>IF(OR(B23="",NOT(ISNUMBER($B$2))),"",IF(B23&lt;$B$2,"Passed",IF(B23=$B$2,"Today",IF(AND(E23&lt;&gt;"",E23&lt;=$B$2),"Raise now","Later"))))</f>
        <v/>
      </c>
      <c r="H23" s="43" t="str">
        <f>IF(K23="","",IF(INDEX($E$70:$E$121,K23)="","",INDEX($E$70:$E$121,K23)))</f>
        <v/>
      </c>
      <c r="J23" s="46" t="str">
        <f>IFERROR(SMALL($F$70:$F$121,ROW()-ROW($J$5)),"")</f>
        <v/>
      </c>
      <c r="K23" s="18" t="str">
        <f>IF(J23="","",MATCH(J23,$F$70:$F$121,0))</f>
        <v/>
      </c>
    </row>
    <row r="24">
      <c r="A24" s="18" t="str">
        <f>IF(B24="","",ROW()-ROW($A$5))</f>
        <v/>
      </c>
      <c r="B24" s="36" t="str">
        <f>IF(K24="","",IF(INDEX($A$70:$A$121,K24)="","",INDEX($A$70:$A$121,K24)))</f>
        <v/>
      </c>
      <c r="C24" s="43" t="str">
        <f>IF(K24="","",IF(INDEX($B$70:$B$121,K24)="","",INDEX($B$70:$B$121,K24)))</f>
        <v/>
      </c>
      <c r="D24" s="25" t="str">
        <f>IF(K24="","",IF(INDEX($C$70:$C$121,K24)="","",INDEX($C$70:$C$121,K24)))</f>
        <v/>
      </c>
      <c r="E24" s="36" t="str">
        <f>IF(K24="","",IF(INDEX($D$70:$D$121,K24)="","",INDEX($D$70:$D$121,K24)))</f>
        <v/>
      </c>
      <c r="F24" s="18" t="str">
        <f>IF(OR(B24="",NOT(ISNUMBER($B$2))),"",B24-$B$2)</f>
        <v/>
      </c>
      <c r="G24" s="43" t="str">
        <f>IF(OR(B24="",NOT(ISNUMBER($B$2))),"",IF(B24&lt;$B$2,"Passed",IF(B24=$B$2,"Today",IF(AND(E24&lt;&gt;"",E24&lt;=$B$2),"Raise now","Later"))))</f>
        <v/>
      </c>
      <c r="H24" s="43" t="str">
        <f>IF(K24="","",IF(INDEX($E$70:$E$121,K24)="","",INDEX($E$70:$E$121,K24)))</f>
        <v/>
      </c>
      <c r="J24" s="46" t="str">
        <f>IFERROR(SMALL($F$70:$F$121,ROW()-ROW($J$5)),"")</f>
        <v/>
      </c>
      <c r="K24" s="18" t="str">
        <f>IF(J24="","",MATCH(J24,$F$70:$F$121,0))</f>
        <v/>
      </c>
    </row>
    <row r="25">
      <c r="A25" s="18" t="str">
        <f>IF(B25="","",ROW()-ROW($A$5))</f>
        <v/>
      </c>
      <c r="B25" s="36" t="str">
        <f>IF(K25="","",IF(INDEX($A$70:$A$121,K25)="","",INDEX($A$70:$A$121,K25)))</f>
        <v/>
      </c>
      <c r="C25" s="43" t="str">
        <f>IF(K25="","",IF(INDEX($B$70:$B$121,K25)="","",INDEX($B$70:$B$121,K25)))</f>
        <v/>
      </c>
      <c r="D25" s="25" t="str">
        <f>IF(K25="","",IF(INDEX($C$70:$C$121,K25)="","",INDEX($C$70:$C$121,K25)))</f>
        <v/>
      </c>
      <c r="E25" s="36" t="str">
        <f>IF(K25="","",IF(INDEX($D$70:$D$121,K25)="","",INDEX($D$70:$D$121,K25)))</f>
        <v/>
      </c>
      <c r="F25" s="18" t="str">
        <f>IF(OR(B25="",NOT(ISNUMBER($B$2))),"",B25-$B$2)</f>
        <v/>
      </c>
      <c r="G25" s="43" t="str">
        <f>IF(OR(B25="",NOT(ISNUMBER($B$2))),"",IF(B25&lt;$B$2,"Passed",IF(B25=$B$2,"Today",IF(AND(E25&lt;&gt;"",E25&lt;=$B$2),"Raise now","Later"))))</f>
        <v/>
      </c>
      <c r="H25" s="43" t="str">
        <f>IF(K25="","",IF(INDEX($E$70:$E$121,K25)="","",INDEX($E$70:$E$121,K25)))</f>
        <v/>
      </c>
      <c r="J25" s="46" t="str">
        <f>IFERROR(SMALL($F$70:$F$121,ROW()-ROW($J$5)),"")</f>
        <v/>
      </c>
      <c r="K25" s="18" t="str">
        <f>IF(J25="","",MATCH(J25,$F$70:$F$121,0))</f>
        <v/>
      </c>
    </row>
    <row r="26">
      <c r="A26" s="18" t="str">
        <f>IF(B26="","",ROW()-ROW($A$5))</f>
        <v/>
      </c>
      <c r="B26" s="36" t="str">
        <f>IF(K26="","",IF(INDEX($A$70:$A$121,K26)="","",INDEX($A$70:$A$121,K26)))</f>
        <v/>
      </c>
      <c r="C26" s="43" t="str">
        <f>IF(K26="","",IF(INDEX($B$70:$B$121,K26)="","",INDEX($B$70:$B$121,K26)))</f>
        <v/>
      </c>
      <c r="D26" s="25" t="str">
        <f>IF(K26="","",IF(INDEX($C$70:$C$121,K26)="","",INDEX($C$70:$C$121,K26)))</f>
        <v/>
      </c>
      <c r="E26" s="36" t="str">
        <f>IF(K26="","",IF(INDEX($D$70:$D$121,K26)="","",INDEX($D$70:$D$121,K26)))</f>
        <v/>
      </c>
      <c r="F26" s="18" t="str">
        <f>IF(OR(B26="",NOT(ISNUMBER($B$2))),"",B26-$B$2)</f>
        <v/>
      </c>
      <c r="G26" s="43" t="str">
        <f>IF(OR(B26="",NOT(ISNUMBER($B$2))),"",IF(B26&lt;$B$2,"Passed",IF(B26=$B$2,"Today",IF(AND(E26&lt;&gt;"",E26&lt;=$B$2),"Raise now","Later"))))</f>
        <v/>
      </c>
      <c r="H26" s="43" t="str">
        <f>IF(K26="","",IF(INDEX($E$70:$E$121,K26)="","",INDEX($E$70:$E$121,K26)))</f>
        <v/>
      </c>
      <c r="J26" s="46" t="str">
        <f>IFERROR(SMALL($F$70:$F$121,ROW()-ROW($J$5)),"")</f>
        <v/>
      </c>
      <c r="K26" s="18" t="str">
        <f>IF(J26="","",MATCH(J26,$F$70:$F$121,0))</f>
        <v/>
      </c>
    </row>
    <row r="27">
      <c r="A27" s="18" t="str">
        <f>IF(B27="","",ROW()-ROW($A$5))</f>
        <v/>
      </c>
      <c r="B27" s="36" t="str">
        <f>IF(K27="","",IF(INDEX($A$70:$A$121,K27)="","",INDEX($A$70:$A$121,K27)))</f>
        <v/>
      </c>
      <c r="C27" s="43" t="str">
        <f>IF(K27="","",IF(INDEX($B$70:$B$121,K27)="","",INDEX($B$70:$B$121,K27)))</f>
        <v/>
      </c>
      <c r="D27" s="25" t="str">
        <f>IF(K27="","",IF(INDEX($C$70:$C$121,K27)="","",INDEX($C$70:$C$121,K27)))</f>
        <v/>
      </c>
      <c r="E27" s="36" t="str">
        <f>IF(K27="","",IF(INDEX($D$70:$D$121,K27)="","",INDEX($D$70:$D$121,K27)))</f>
        <v/>
      </c>
      <c r="F27" s="18" t="str">
        <f>IF(OR(B27="",NOT(ISNUMBER($B$2))),"",B27-$B$2)</f>
        <v/>
      </c>
      <c r="G27" s="43" t="str">
        <f>IF(OR(B27="",NOT(ISNUMBER($B$2))),"",IF(B27&lt;$B$2,"Passed",IF(B27=$B$2,"Today",IF(AND(E27&lt;&gt;"",E27&lt;=$B$2),"Raise now","Later"))))</f>
        <v/>
      </c>
      <c r="H27" s="43" t="str">
        <f>IF(K27="","",IF(INDEX($E$70:$E$121,K27)="","",INDEX($E$70:$E$121,K27)))</f>
        <v/>
      </c>
      <c r="J27" s="46" t="str">
        <f>IFERROR(SMALL($F$70:$F$121,ROW()-ROW($J$5)),"")</f>
        <v/>
      </c>
      <c r="K27" s="18" t="str">
        <f>IF(J27="","",MATCH(J27,$F$70:$F$121,0))</f>
        <v/>
      </c>
    </row>
    <row r="28">
      <c r="A28" s="18" t="str">
        <f>IF(B28="","",ROW()-ROW($A$5))</f>
        <v/>
      </c>
      <c r="B28" s="36" t="str">
        <f>IF(K28="","",IF(INDEX($A$70:$A$121,K28)="","",INDEX($A$70:$A$121,K28)))</f>
        <v/>
      </c>
      <c r="C28" s="43" t="str">
        <f>IF(K28="","",IF(INDEX($B$70:$B$121,K28)="","",INDEX($B$70:$B$121,K28)))</f>
        <v/>
      </c>
      <c r="D28" s="25" t="str">
        <f>IF(K28="","",IF(INDEX($C$70:$C$121,K28)="","",INDEX($C$70:$C$121,K28)))</f>
        <v/>
      </c>
      <c r="E28" s="36" t="str">
        <f>IF(K28="","",IF(INDEX($D$70:$D$121,K28)="","",INDEX($D$70:$D$121,K28)))</f>
        <v/>
      </c>
      <c r="F28" s="18" t="str">
        <f>IF(OR(B28="",NOT(ISNUMBER($B$2))),"",B28-$B$2)</f>
        <v/>
      </c>
      <c r="G28" s="43" t="str">
        <f>IF(OR(B28="",NOT(ISNUMBER($B$2))),"",IF(B28&lt;$B$2,"Passed",IF(B28=$B$2,"Today",IF(AND(E28&lt;&gt;"",E28&lt;=$B$2),"Raise now","Later"))))</f>
        <v/>
      </c>
      <c r="H28" s="43" t="str">
        <f>IF(K28="","",IF(INDEX($E$70:$E$121,K28)="","",INDEX($E$70:$E$121,K28)))</f>
        <v/>
      </c>
      <c r="J28" s="46" t="str">
        <f>IFERROR(SMALL($F$70:$F$121,ROW()-ROW($J$5)),"")</f>
        <v/>
      </c>
      <c r="K28" s="18" t="str">
        <f>IF(J28="","",MATCH(J28,$F$70:$F$121,0))</f>
        <v/>
      </c>
    </row>
    <row r="29">
      <c r="A29" s="18" t="str">
        <f>IF(B29="","",ROW()-ROW($A$5))</f>
        <v/>
      </c>
      <c r="B29" s="36" t="str">
        <f>IF(K29="","",IF(INDEX($A$70:$A$121,K29)="","",INDEX($A$70:$A$121,K29)))</f>
        <v/>
      </c>
      <c r="C29" s="43" t="str">
        <f>IF(K29="","",IF(INDEX($B$70:$B$121,K29)="","",INDEX($B$70:$B$121,K29)))</f>
        <v/>
      </c>
      <c r="D29" s="25" t="str">
        <f>IF(K29="","",IF(INDEX($C$70:$C$121,K29)="","",INDEX($C$70:$C$121,K29)))</f>
        <v/>
      </c>
      <c r="E29" s="36" t="str">
        <f>IF(K29="","",IF(INDEX($D$70:$D$121,K29)="","",INDEX($D$70:$D$121,K29)))</f>
        <v/>
      </c>
      <c r="F29" s="18" t="str">
        <f>IF(OR(B29="",NOT(ISNUMBER($B$2))),"",B29-$B$2)</f>
        <v/>
      </c>
      <c r="G29" s="43" t="str">
        <f>IF(OR(B29="",NOT(ISNUMBER($B$2))),"",IF(B29&lt;$B$2,"Passed",IF(B29=$B$2,"Today",IF(AND(E29&lt;&gt;"",E29&lt;=$B$2),"Raise now","Later"))))</f>
        <v/>
      </c>
      <c r="H29" s="43" t="str">
        <f>IF(K29="","",IF(INDEX($E$70:$E$121,K29)="","",INDEX($E$70:$E$121,K29)))</f>
        <v/>
      </c>
      <c r="J29" s="46" t="str">
        <f>IFERROR(SMALL($F$70:$F$121,ROW()-ROW($J$5)),"")</f>
        <v/>
      </c>
      <c r="K29" s="18" t="str">
        <f>IF(J29="","",MATCH(J29,$F$70:$F$121,0))</f>
        <v/>
      </c>
    </row>
    <row r="30">
      <c r="A30" s="18" t="str">
        <f>IF(B30="","",ROW()-ROW($A$5))</f>
        <v/>
      </c>
      <c r="B30" s="36" t="str">
        <f>IF(K30="","",IF(INDEX($A$70:$A$121,K30)="","",INDEX($A$70:$A$121,K30)))</f>
        <v/>
      </c>
      <c r="C30" s="43" t="str">
        <f>IF(K30="","",IF(INDEX($B$70:$B$121,K30)="","",INDEX($B$70:$B$121,K30)))</f>
        <v/>
      </c>
      <c r="D30" s="25" t="str">
        <f>IF(K30="","",IF(INDEX($C$70:$C$121,K30)="","",INDEX($C$70:$C$121,K30)))</f>
        <v/>
      </c>
      <c r="E30" s="36" t="str">
        <f>IF(K30="","",IF(INDEX($D$70:$D$121,K30)="","",INDEX($D$70:$D$121,K30)))</f>
        <v/>
      </c>
      <c r="F30" s="18" t="str">
        <f>IF(OR(B30="",NOT(ISNUMBER($B$2))),"",B30-$B$2)</f>
        <v/>
      </c>
      <c r="G30" s="43" t="str">
        <f>IF(OR(B30="",NOT(ISNUMBER($B$2))),"",IF(B30&lt;$B$2,"Passed",IF(B30=$B$2,"Today",IF(AND(E30&lt;&gt;"",E30&lt;=$B$2),"Raise now","Later"))))</f>
        <v/>
      </c>
      <c r="H30" s="43" t="str">
        <f>IF(K30="","",IF(INDEX($E$70:$E$121,K30)="","",INDEX($E$70:$E$121,K30)))</f>
        <v/>
      </c>
      <c r="J30" s="46" t="str">
        <f>IFERROR(SMALL($F$70:$F$121,ROW()-ROW($J$5)),"")</f>
        <v/>
      </c>
      <c r="K30" s="18" t="str">
        <f>IF(J30="","",MATCH(J30,$F$70:$F$121,0))</f>
        <v/>
      </c>
    </row>
    <row r="31">
      <c r="A31" s="18" t="str">
        <f>IF(B31="","",ROW()-ROW($A$5))</f>
        <v/>
      </c>
      <c r="B31" s="36" t="str">
        <f>IF(K31="","",IF(INDEX($A$70:$A$121,K31)="","",INDEX($A$70:$A$121,K31)))</f>
        <v/>
      </c>
      <c r="C31" s="43" t="str">
        <f>IF(K31="","",IF(INDEX($B$70:$B$121,K31)="","",INDEX($B$70:$B$121,K31)))</f>
        <v/>
      </c>
      <c r="D31" s="25" t="str">
        <f>IF(K31="","",IF(INDEX($C$70:$C$121,K31)="","",INDEX($C$70:$C$121,K31)))</f>
        <v/>
      </c>
      <c r="E31" s="36" t="str">
        <f>IF(K31="","",IF(INDEX($D$70:$D$121,K31)="","",INDEX($D$70:$D$121,K31)))</f>
        <v/>
      </c>
      <c r="F31" s="18" t="str">
        <f>IF(OR(B31="",NOT(ISNUMBER($B$2))),"",B31-$B$2)</f>
        <v/>
      </c>
      <c r="G31" s="43" t="str">
        <f>IF(OR(B31="",NOT(ISNUMBER($B$2))),"",IF(B31&lt;$B$2,"Passed",IF(B31=$B$2,"Today",IF(AND(E31&lt;&gt;"",E31&lt;=$B$2),"Raise now","Later"))))</f>
        <v/>
      </c>
      <c r="H31" s="43" t="str">
        <f>IF(K31="","",IF(INDEX($E$70:$E$121,K31)="","",INDEX($E$70:$E$121,K31)))</f>
        <v/>
      </c>
      <c r="J31" s="46" t="str">
        <f>IFERROR(SMALL($F$70:$F$121,ROW()-ROW($J$5)),"")</f>
        <v/>
      </c>
      <c r="K31" s="18" t="str">
        <f>IF(J31="","",MATCH(J31,$F$70:$F$121,0))</f>
        <v/>
      </c>
    </row>
    <row r="32">
      <c r="A32" s="18" t="str">
        <f>IF(B32="","",ROW()-ROW($A$5))</f>
        <v/>
      </c>
      <c r="B32" s="36" t="str">
        <f>IF(K32="","",IF(INDEX($A$70:$A$121,K32)="","",INDEX($A$70:$A$121,K32)))</f>
        <v/>
      </c>
      <c r="C32" s="43" t="str">
        <f>IF(K32="","",IF(INDEX($B$70:$B$121,K32)="","",INDEX($B$70:$B$121,K32)))</f>
        <v/>
      </c>
      <c r="D32" s="25" t="str">
        <f>IF(K32="","",IF(INDEX($C$70:$C$121,K32)="","",INDEX($C$70:$C$121,K32)))</f>
        <v/>
      </c>
      <c r="E32" s="36" t="str">
        <f>IF(K32="","",IF(INDEX($D$70:$D$121,K32)="","",INDEX($D$70:$D$121,K32)))</f>
        <v/>
      </c>
      <c r="F32" s="18" t="str">
        <f>IF(OR(B32="",NOT(ISNUMBER($B$2))),"",B32-$B$2)</f>
        <v/>
      </c>
      <c r="G32" s="43" t="str">
        <f>IF(OR(B32="",NOT(ISNUMBER($B$2))),"",IF(B32&lt;$B$2,"Passed",IF(B32=$B$2,"Today",IF(AND(E32&lt;&gt;"",E32&lt;=$B$2),"Raise now","Later"))))</f>
        <v/>
      </c>
      <c r="H32" s="43" t="str">
        <f>IF(K32="","",IF(INDEX($E$70:$E$121,K32)="","",INDEX($E$70:$E$121,K32)))</f>
        <v/>
      </c>
      <c r="J32" s="46" t="str">
        <f>IFERROR(SMALL($F$70:$F$121,ROW()-ROW($J$5)),"")</f>
        <v/>
      </c>
      <c r="K32" s="18" t="str">
        <f>IF(J32="","",MATCH(J32,$F$70:$F$121,0))</f>
        <v/>
      </c>
    </row>
    <row r="33">
      <c r="A33" s="18" t="str">
        <f>IF(B33="","",ROW()-ROW($A$5))</f>
        <v/>
      </c>
      <c r="B33" s="36" t="str">
        <f>IF(K33="","",IF(INDEX($A$70:$A$121,K33)="","",INDEX($A$70:$A$121,K33)))</f>
        <v/>
      </c>
      <c r="C33" s="43" t="str">
        <f>IF(K33="","",IF(INDEX($B$70:$B$121,K33)="","",INDEX($B$70:$B$121,K33)))</f>
        <v/>
      </c>
      <c r="D33" s="25" t="str">
        <f>IF(K33="","",IF(INDEX($C$70:$C$121,K33)="","",INDEX($C$70:$C$121,K33)))</f>
        <v/>
      </c>
      <c r="E33" s="36" t="str">
        <f>IF(K33="","",IF(INDEX($D$70:$D$121,K33)="","",INDEX($D$70:$D$121,K33)))</f>
        <v/>
      </c>
      <c r="F33" s="18" t="str">
        <f>IF(OR(B33="",NOT(ISNUMBER($B$2))),"",B33-$B$2)</f>
        <v/>
      </c>
      <c r="G33" s="43" t="str">
        <f>IF(OR(B33="",NOT(ISNUMBER($B$2))),"",IF(B33&lt;$B$2,"Passed",IF(B33=$B$2,"Today",IF(AND(E33&lt;&gt;"",E33&lt;=$B$2),"Raise now","Later"))))</f>
        <v/>
      </c>
      <c r="H33" s="43" t="str">
        <f>IF(K33="","",IF(INDEX($E$70:$E$121,K33)="","",INDEX($E$70:$E$121,K33)))</f>
        <v/>
      </c>
      <c r="J33" s="46" t="str">
        <f>IFERROR(SMALL($F$70:$F$121,ROW()-ROW($J$5)),"")</f>
        <v/>
      </c>
      <c r="K33" s="18" t="str">
        <f>IF(J33="","",MATCH(J33,$F$70:$F$121,0))</f>
        <v/>
      </c>
    </row>
    <row r="34">
      <c r="A34" s="18" t="str">
        <f>IF(B34="","",ROW()-ROW($A$5))</f>
        <v/>
      </c>
      <c r="B34" s="36" t="str">
        <f>IF(K34="","",IF(INDEX($A$70:$A$121,K34)="","",INDEX($A$70:$A$121,K34)))</f>
        <v/>
      </c>
      <c r="C34" s="43" t="str">
        <f>IF(K34="","",IF(INDEX($B$70:$B$121,K34)="","",INDEX($B$70:$B$121,K34)))</f>
        <v/>
      </c>
      <c r="D34" s="25" t="str">
        <f>IF(K34="","",IF(INDEX($C$70:$C$121,K34)="","",INDEX($C$70:$C$121,K34)))</f>
        <v/>
      </c>
      <c r="E34" s="36" t="str">
        <f>IF(K34="","",IF(INDEX($D$70:$D$121,K34)="","",INDEX($D$70:$D$121,K34)))</f>
        <v/>
      </c>
      <c r="F34" s="18" t="str">
        <f>IF(OR(B34="",NOT(ISNUMBER($B$2))),"",B34-$B$2)</f>
        <v/>
      </c>
      <c r="G34" s="43" t="str">
        <f>IF(OR(B34="",NOT(ISNUMBER($B$2))),"",IF(B34&lt;$B$2,"Passed",IF(B34=$B$2,"Today",IF(AND(E34&lt;&gt;"",E34&lt;=$B$2),"Raise now","Later"))))</f>
        <v/>
      </c>
      <c r="H34" s="43" t="str">
        <f>IF(K34="","",IF(INDEX($E$70:$E$121,K34)="","",INDEX($E$70:$E$121,K34)))</f>
        <v/>
      </c>
      <c r="J34" s="46" t="str">
        <f>IFERROR(SMALL($F$70:$F$121,ROW()-ROW($J$5)),"")</f>
        <v/>
      </c>
      <c r="K34" s="18" t="str">
        <f>IF(J34="","",MATCH(J34,$F$70:$F$121,0))</f>
        <v/>
      </c>
    </row>
    <row r="35">
      <c r="A35" s="18" t="str">
        <f>IF(B35="","",ROW()-ROW($A$5))</f>
        <v/>
      </c>
      <c r="B35" s="36" t="str">
        <f>IF(K35="","",IF(INDEX($A$70:$A$121,K35)="","",INDEX($A$70:$A$121,K35)))</f>
        <v/>
      </c>
      <c r="C35" s="43" t="str">
        <f>IF(K35="","",IF(INDEX($B$70:$B$121,K35)="","",INDEX($B$70:$B$121,K35)))</f>
        <v/>
      </c>
      <c r="D35" s="25" t="str">
        <f>IF(K35="","",IF(INDEX($C$70:$C$121,K35)="","",INDEX($C$70:$C$121,K35)))</f>
        <v/>
      </c>
      <c r="E35" s="36" t="str">
        <f>IF(K35="","",IF(INDEX($D$70:$D$121,K35)="","",INDEX($D$70:$D$121,K35)))</f>
        <v/>
      </c>
      <c r="F35" s="18" t="str">
        <f>IF(OR(B35="",NOT(ISNUMBER($B$2))),"",B35-$B$2)</f>
        <v/>
      </c>
      <c r="G35" s="43" t="str">
        <f>IF(OR(B35="",NOT(ISNUMBER($B$2))),"",IF(B35&lt;$B$2,"Passed",IF(B35=$B$2,"Today",IF(AND(E35&lt;&gt;"",E35&lt;=$B$2),"Raise now","Later"))))</f>
        <v/>
      </c>
      <c r="H35" s="43" t="str">
        <f>IF(K35="","",IF(INDEX($E$70:$E$121,K35)="","",INDEX($E$70:$E$121,K35)))</f>
        <v/>
      </c>
      <c r="J35" s="46" t="str">
        <f>IFERROR(SMALL($F$70:$F$121,ROW()-ROW($J$5)),"")</f>
        <v/>
      </c>
      <c r="K35" s="18" t="str">
        <f>IF(J35="","",MATCH(J35,$F$70:$F$121,0))</f>
        <v/>
      </c>
    </row>
    <row r="36">
      <c r="A36" s="18" t="str">
        <f>IF(B36="","",ROW()-ROW($A$5))</f>
        <v/>
      </c>
      <c r="B36" s="36" t="str">
        <f>IF(K36="","",IF(INDEX($A$70:$A$121,K36)="","",INDEX($A$70:$A$121,K36)))</f>
        <v/>
      </c>
      <c r="C36" s="43" t="str">
        <f>IF(K36="","",IF(INDEX($B$70:$B$121,K36)="","",INDEX($B$70:$B$121,K36)))</f>
        <v/>
      </c>
      <c r="D36" s="25" t="str">
        <f>IF(K36="","",IF(INDEX($C$70:$C$121,K36)="","",INDEX($C$70:$C$121,K36)))</f>
        <v/>
      </c>
      <c r="E36" s="36" t="str">
        <f>IF(K36="","",IF(INDEX($D$70:$D$121,K36)="","",INDEX($D$70:$D$121,K36)))</f>
        <v/>
      </c>
      <c r="F36" s="18" t="str">
        <f>IF(OR(B36="",NOT(ISNUMBER($B$2))),"",B36-$B$2)</f>
        <v/>
      </c>
      <c r="G36" s="43" t="str">
        <f>IF(OR(B36="",NOT(ISNUMBER($B$2))),"",IF(B36&lt;$B$2,"Passed",IF(B36=$B$2,"Today",IF(AND(E36&lt;&gt;"",E36&lt;=$B$2),"Raise now","Later"))))</f>
        <v/>
      </c>
      <c r="H36" s="43" t="str">
        <f>IF(K36="","",IF(INDEX($E$70:$E$121,K36)="","",INDEX($E$70:$E$121,K36)))</f>
        <v/>
      </c>
      <c r="J36" s="46" t="str">
        <f>IFERROR(SMALL($F$70:$F$121,ROW()-ROW($J$5)),"")</f>
        <v/>
      </c>
      <c r="K36" s="18" t="str">
        <f>IF(J36="","",MATCH(J36,$F$70:$F$121,0))</f>
        <v/>
      </c>
    </row>
    <row r="37">
      <c r="A37" s="18" t="str">
        <f>IF(B37="","",ROW()-ROW($A$5))</f>
        <v/>
      </c>
      <c r="B37" s="36" t="str">
        <f>IF(K37="","",IF(INDEX($A$70:$A$121,K37)="","",INDEX($A$70:$A$121,K37)))</f>
        <v/>
      </c>
      <c r="C37" s="43" t="str">
        <f>IF(K37="","",IF(INDEX($B$70:$B$121,K37)="","",INDEX($B$70:$B$121,K37)))</f>
        <v/>
      </c>
      <c r="D37" s="25" t="str">
        <f>IF(K37="","",IF(INDEX($C$70:$C$121,K37)="","",INDEX($C$70:$C$121,K37)))</f>
        <v/>
      </c>
      <c r="E37" s="36" t="str">
        <f>IF(K37="","",IF(INDEX($D$70:$D$121,K37)="","",INDEX($D$70:$D$121,K37)))</f>
        <v/>
      </c>
      <c r="F37" s="18" t="str">
        <f>IF(OR(B37="",NOT(ISNUMBER($B$2))),"",B37-$B$2)</f>
        <v/>
      </c>
      <c r="G37" s="43" t="str">
        <f>IF(OR(B37="",NOT(ISNUMBER($B$2))),"",IF(B37&lt;$B$2,"Passed",IF(B37=$B$2,"Today",IF(AND(E37&lt;&gt;"",E37&lt;=$B$2),"Raise now","Later"))))</f>
        <v/>
      </c>
      <c r="H37" s="43" t="str">
        <f>IF(K37="","",IF(INDEX($E$70:$E$121,K37)="","",INDEX($E$70:$E$121,K37)))</f>
        <v/>
      </c>
      <c r="J37" s="46" t="str">
        <f>IFERROR(SMALL($F$70:$F$121,ROW()-ROW($J$5)),"")</f>
        <v/>
      </c>
      <c r="K37" s="18" t="str">
        <f>IF(J37="","",MATCH(J37,$F$70:$F$121,0))</f>
        <v/>
      </c>
    </row>
    <row r="38">
      <c r="A38" s="18" t="str">
        <f>IF(B38="","",ROW()-ROW($A$5))</f>
        <v/>
      </c>
      <c r="B38" s="36" t="str">
        <f>IF(K38="","",IF(INDEX($A$70:$A$121,K38)="","",INDEX($A$70:$A$121,K38)))</f>
        <v/>
      </c>
      <c r="C38" s="43" t="str">
        <f>IF(K38="","",IF(INDEX($B$70:$B$121,K38)="","",INDEX($B$70:$B$121,K38)))</f>
        <v/>
      </c>
      <c r="D38" s="25" t="str">
        <f>IF(K38="","",IF(INDEX($C$70:$C$121,K38)="","",INDEX($C$70:$C$121,K38)))</f>
        <v/>
      </c>
      <c r="E38" s="36" t="str">
        <f>IF(K38="","",IF(INDEX($D$70:$D$121,K38)="","",INDEX($D$70:$D$121,K38)))</f>
        <v/>
      </c>
      <c r="F38" s="18" t="str">
        <f>IF(OR(B38="",NOT(ISNUMBER($B$2))),"",B38-$B$2)</f>
        <v/>
      </c>
      <c r="G38" s="43" t="str">
        <f>IF(OR(B38="",NOT(ISNUMBER($B$2))),"",IF(B38&lt;$B$2,"Passed",IF(B38=$B$2,"Today",IF(AND(E38&lt;&gt;"",E38&lt;=$B$2),"Raise now","Later"))))</f>
        <v/>
      </c>
      <c r="H38" s="43" t="str">
        <f>IF(K38="","",IF(INDEX($E$70:$E$121,K38)="","",INDEX($E$70:$E$121,K38)))</f>
        <v/>
      </c>
      <c r="J38" s="46" t="str">
        <f>IFERROR(SMALL($F$70:$F$121,ROW()-ROW($J$5)),"")</f>
        <v/>
      </c>
      <c r="K38" s="18" t="str">
        <f>IF(J38="","",MATCH(J38,$F$70:$F$121,0))</f>
        <v/>
      </c>
    </row>
    <row r="39">
      <c r="A39" s="18" t="str">
        <f>IF(B39="","",ROW()-ROW($A$5))</f>
        <v/>
      </c>
      <c r="B39" s="36" t="str">
        <f>IF(K39="","",IF(INDEX($A$70:$A$121,K39)="","",INDEX($A$70:$A$121,K39)))</f>
        <v/>
      </c>
      <c r="C39" s="43" t="str">
        <f>IF(K39="","",IF(INDEX($B$70:$B$121,K39)="","",INDEX($B$70:$B$121,K39)))</f>
        <v/>
      </c>
      <c r="D39" s="25" t="str">
        <f>IF(K39="","",IF(INDEX($C$70:$C$121,K39)="","",INDEX($C$70:$C$121,K39)))</f>
        <v/>
      </c>
      <c r="E39" s="36" t="str">
        <f>IF(K39="","",IF(INDEX($D$70:$D$121,K39)="","",INDEX($D$70:$D$121,K39)))</f>
        <v/>
      </c>
      <c r="F39" s="18" t="str">
        <f>IF(OR(B39="",NOT(ISNUMBER($B$2))),"",B39-$B$2)</f>
        <v/>
      </c>
      <c r="G39" s="43" t="str">
        <f>IF(OR(B39="",NOT(ISNUMBER($B$2))),"",IF(B39&lt;$B$2,"Passed",IF(B39=$B$2,"Today",IF(AND(E39&lt;&gt;"",E39&lt;=$B$2),"Raise now","Later"))))</f>
        <v/>
      </c>
      <c r="H39" s="43" t="str">
        <f>IF(K39="","",IF(INDEX($E$70:$E$121,K39)="","",INDEX($E$70:$E$121,K39)))</f>
        <v/>
      </c>
      <c r="J39" s="46" t="str">
        <f>IFERROR(SMALL($F$70:$F$121,ROW()-ROW($J$5)),"")</f>
        <v/>
      </c>
      <c r="K39" s="18" t="str">
        <f>IF(J39="","",MATCH(J39,$F$70:$F$121,0))</f>
        <v/>
      </c>
    </row>
    <row r="40">
      <c r="A40" s="18" t="str">
        <f>IF(B40="","",ROW()-ROW($A$5))</f>
        <v/>
      </c>
      <c r="B40" s="36" t="str">
        <f>IF(K40="","",IF(INDEX($A$70:$A$121,K40)="","",INDEX($A$70:$A$121,K40)))</f>
        <v/>
      </c>
      <c r="C40" s="43" t="str">
        <f>IF(K40="","",IF(INDEX($B$70:$B$121,K40)="","",INDEX($B$70:$B$121,K40)))</f>
        <v/>
      </c>
      <c r="D40" s="25" t="str">
        <f>IF(K40="","",IF(INDEX($C$70:$C$121,K40)="","",INDEX($C$70:$C$121,K40)))</f>
        <v/>
      </c>
      <c r="E40" s="36" t="str">
        <f>IF(K40="","",IF(INDEX($D$70:$D$121,K40)="","",INDEX($D$70:$D$121,K40)))</f>
        <v/>
      </c>
      <c r="F40" s="18" t="str">
        <f>IF(OR(B40="",NOT(ISNUMBER($B$2))),"",B40-$B$2)</f>
        <v/>
      </c>
      <c r="G40" s="43" t="str">
        <f>IF(OR(B40="",NOT(ISNUMBER($B$2))),"",IF(B40&lt;$B$2,"Passed",IF(B40=$B$2,"Today",IF(AND(E40&lt;&gt;"",E40&lt;=$B$2),"Raise now","Later"))))</f>
        <v/>
      </c>
      <c r="H40" s="43" t="str">
        <f>IF(K40="","",IF(INDEX($E$70:$E$121,K40)="","",INDEX($E$70:$E$121,K40)))</f>
        <v/>
      </c>
      <c r="J40" s="46" t="str">
        <f>IFERROR(SMALL($F$70:$F$121,ROW()-ROW($J$5)),"")</f>
        <v/>
      </c>
      <c r="K40" s="18" t="str">
        <f>IF(J40="","",MATCH(J40,$F$70:$F$121,0))</f>
        <v/>
      </c>
    </row>
    <row r="41">
      <c r="A41" s="18" t="str">
        <f>IF(B41="","",ROW()-ROW($A$5))</f>
        <v/>
      </c>
      <c r="B41" s="36" t="str">
        <f>IF(K41="","",IF(INDEX($A$70:$A$121,K41)="","",INDEX($A$70:$A$121,K41)))</f>
        <v/>
      </c>
      <c r="C41" s="43" t="str">
        <f>IF(K41="","",IF(INDEX($B$70:$B$121,K41)="","",INDEX($B$70:$B$121,K41)))</f>
        <v/>
      </c>
      <c r="D41" s="25" t="str">
        <f>IF(K41="","",IF(INDEX($C$70:$C$121,K41)="","",INDEX($C$70:$C$121,K41)))</f>
        <v/>
      </c>
      <c r="E41" s="36" t="str">
        <f>IF(K41="","",IF(INDEX($D$70:$D$121,K41)="","",INDEX($D$70:$D$121,K41)))</f>
        <v/>
      </c>
      <c r="F41" s="18" t="str">
        <f>IF(OR(B41="",NOT(ISNUMBER($B$2))),"",B41-$B$2)</f>
        <v/>
      </c>
      <c r="G41" s="43" t="str">
        <f>IF(OR(B41="",NOT(ISNUMBER($B$2))),"",IF(B41&lt;$B$2,"Passed",IF(B41=$B$2,"Today",IF(AND(E41&lt;&gt;"",E41&lt;=$B$2),"Raise now","Later"))))</f>
        <v/>
      </c>
      <c r="H41" s="43" t="str">
        <f>IF(K41="","",IF(INDEX($E$70:$E$121,K41)="","",INDEX($E$70:$E$121,K41)))</f>
        <v/>
      </c>
      <c r="J41" s="46" t="str">
        <f>IFERROR(SMALL($F$70:$F$121,ROW()-ROW($J$5)),"")</f>
        <v/>
      </c>
      <c r="K41" s="18" t="str">
        <f>IF(J41="","",MATCH(J41,$F$70:$F$121,0))</f>
        <v/>
      </c>
    </row>
    <row r="42">
      <c r="A42" s="18" t="str">
        <f>IF(B42="","",ROW()-ROW($A$5))</f>
        <v/>
      </c>
      <c r="B42" s="36" t="str">
        <f>IF(K42="","",IF(INDEX($A$70:$A$121,K42)="","",INDEX($A$70:$A$121,K42)))</f>
        <v/>
      </c>
      <c r="C42" s="43" t="str">
        <f>IF(K42="","",IF(INDEX($B$70:$B$121,K42)="","",INDEX($B$70:$B$121,K42)))</f>
        <v/>
      </c>
      <c r="D42" s="25" t="str">
        <f>IF(K42="","",IF(INDEX($C$70:$C$121,K42)="","",INDEX($C$70:$C$121,K42)))</f>
        <v/>
      </c>
      <c r="E42" s="36" t="str">
        <f>IF(K42="","",IF(INDEX($D$70:$D$121,K42)="","",INDEX($D$70:$D$121,K42)))</f>
        <v/>
      </c>
      <c r="F42" s="18" t="str">
        <f>IF(OR(B42="",NOT(ISNUMBER($B$2))),"",B42-$B$2)</f>
        <v/>
      </c>
      <c r="G42" s="43" t="str">
        <f>IF(OR(B42="",NOT(ISNUMBER($B$2))),"",IF(B42&lt;$B$2,"Passed",IF(B42=$B$2,"Today",IF(AND(E42&lt;&gt;"",E42&lt;=$B$2),"Raise now","Later"))))</f>
        <v/>
      </c>
      <c r="H42" s="43" t="str">
        <f>IF(K42="","",IF(INDEX($E$70:$E$121,K42)="","",INDEX($E$70:$E$121,K42)))</f>
        <v/>
      </c>
      <c r="J42" s="46" t="str">
        <f>IFERROR(SMALL($F$70:$F$121,ROW()-ROW($J$5)),"")</f>
        <v/>
      </c>
      <c r="K42" s="18" t="str">
        <f>IF(J42="","",MATCH(J42,$F$70:$F$121,0))</f>
        <v/>
      </c>
    </row>
    <row r="43">
      <c r="A43" s="18" t="str">
        <f>IF(B43="","",ROW()-ROW($A$5))</f>
        <v/>
      </c>
      <c r="B43" s="36" t="str">
        <f>IF(K43="","",IF(INDEX($A$70:$A$121,K43)="","",INDEX($A$70:$A$121,K43)))</f>
        <v/>
      </c>
      <c r="C43" s="43" t="str">
        <f>IF(K43="","",IF(INDEX($B$70:$B$121,K43)="","",INDEX($B$70:$B$121,K43)))</f>
        <v/>
      </c>
      <c r="D43" s="25" t="str">
        <f>IF(K43="","",IF(INDEX($C$70:$C$121,K43)="","",INDEX($C$70:$C$121,K43)))</f>
        <v/>
      </c>
      <c r="E43" s="36" t="str">
        <f>IF(K43="","",IF(INDEX($D$70:$D$121,K43)="","",INDEX($D$70:$D$121,K43)))</f>
        <v/>
      </c>
      <c r="F43" s="18" t="str">
        <f>IF(OR(B43="",NOT(ISNUMBER($B$2))),"",B43-$B$2)</f>
        <v/>
      </c>
      <c r="G43" s="43" t="str">
        <f>IF(OR(B43="",NOT(ISNUMBER($B$2))),"",IF(B43&lt;$B$2,"Passed",IF(B43=$B$2,"Today",IF(AND(E43&lt;&gt;"",E43&lt;=$B$2),"Raise now","Later"))))</f>
        <v/>
      </c>
      <c r="H43" s="43" t="str">
        <f>IF(K43="","",IF(INDEX($E$70:$E$121,K43)="","",INDEX($E$70:$E$121,K43)))</f>
        <v/>
      </c>
      <c r="J43" s="46" t="str">
        <f>IFERROR(SMALL($F$70:$F$121,ROW()-ROW($J$5)),"")</f>
        <v/>
      </c>
      <c r="K43" s="18" t="str">
        <f>IF(J43="","",MATCH(J43,$F$70:$F$121,0))</f>
        <v/>
      </c>
    </row>
    <row r="44">
      <c r="A44" s="18" t="str">
        <f>IF(B44="","",ROW()-ROW($A$5))</f>
        <v/>
      </c>
      <c r="B44" s="36" t="str">
        <f>IF(K44="","",IF(INDEX($A$70:$A$121,K44)="","",INDEX($A$70:$A$121,K44)))</f>
        <v/>
      </c>
      <c r="C44" s="43" t="str">
        <f>IF(K44="","",IF(INDEX($B$70:$B$121,K44)="","",INDEX($B$70:$B$121,K44)))</f>
        <v/>
      </c>
      <c r="D44" s="25" t="str">
        <f>IF(K44="","",IF(INDEX($C$70:$C$121,K44)="","",INDEX($C$70:$C$121,K44)))</f>
        <v/>
      </c>
      <c r="E44" s="36" t="str">
        <f>IF(K44="","",IF(INDEX($D$70:$D$121,K44)="","",INDEX($D$70:$D$121,K44)))</f>
        <v/>
      </c>
      <c r="F44" s="18" t="str">
        <f>IF(OR(B44="",NOT(ISNUMBER($B$2))),"",B44-$B$2)</f>
        <v/>
      </c>
      <c r="G44" s="43" t="str">
        <f>IF(OR(B44="",NOT(ISNUMBER($B$2))),"",IF(B44&lt;$B$2,"Passed",IF(B44=$B$2,"Today",IF(AND(E44&lt;&gt;"",E44&lt;=$B$2),"Raise now","Later"))))</f>
        <v/>
      </c>
      <c r="H44" s="43" t="str">
        <f>IF(K44="","",IF(INDEX($E$70:$E$121,K44)="","",INDEX($E$70:$E$121,K44)))</f>
        <v/>
      </c>
      <c r="J44" s="46" t="str">
        <f>IFERROR(SMALL($F$70:$F$121,ROW()-ROW($J$5)),"")</f>
        <v/>
      </c>
      <c r="K44" s="18" t="str">
        <f>IF(J44="","",MATCH(J44,$F$70:$F$121,0))</f>
        <v/>
      </c>
    </row>
    <row r="45">
      <c r="A45" s="18" t="str">
        <f>IF(B45="","",ROW()-ROW($A$5))</f>
        <v/>
      </c>
      <c r="B45" s="36" t="str">
        <f>IF(K45="","",IF(INDEX($A$70:$A$121,K45)="","",INDEX($A$70:$A$121,K45)))</f>
        <v/>
      </c>
      <c r="C45" s="43" t="str">
        <f>IF(K45="","",IF(INDEX($B$70:$B$121,K45)="","",INDEX($B$70:$B$121,K45)))</f>
        <v/>
      </c>
      <c r="D45" s="25" t="str">
        <f>IF(K45="","",IF(INDEX($C$70:$C$121,K45)="","",INDEX($C$70:$C$121,K45)))</f>
        <v/>
      </c>
      <c r="E45" s="36" t="str">
        <f>IF(K45="","",IF(INDEX($D$70:$D$121,K45)="","",INDEX($D$70:$D$121,K45)))</f>
        <v/>
      </c>
      <c r="F45" s="18" t="str">
        <f>IF(OR(B45="",NOT(ISNUMBER($B$2))),"",B45-$B$2)</f>
        <v/>
      </c>
      <c r="G45" s="43" t="str">
        <f>IF(OR(B45="",NOT(ISNUMBER($B$2))),"",IF(B45&lt;$B$2,"Passed",IF(B45=$B$2,"Today",IF(AND(E45&lt;&gt;"",E45&lt;=$B$2),"Raise now","Later"))))</f>
        <v/>
      </c>
      <c r="H45" s="43" t="str">
        <f>IF(K45="","",IF(INDEX($E$70:$E$121,K45)="","",INDEX($E$70:$E$121,K45)))</f>
        <v/>
      </c>
      <c r="J45" s="46" t="str">
        <f>IFERROR(SMALL($F$70:$F$121,ROW()-ROW($J$5)),"")</f>
        <v/>
      </c>
      <c r="K45" s="18" t="str">
        <f>IF(J45="","",MATCH(J45,$F$70:$F$121,0))</f>
        <v/>
      </c>
    </row>
    <row r="46">
      <c r="A46" s="18" t="str">
        <f>IF(B46="","",ROW()-ROW($A$5))</f>
        <v/>
      </c>
      <c r="B46" s="36" t="str">
        <f>IF(K46="","",IF(INDEX($A$70:$A$121,K46)="","",INDEX($A$70:$A$121,K46)))</f>
        <v/>
      </c>
      <c r="C46" s="43" t="str">
        <f>IF(K46="","",IF(INDEX($B$70:$B$121,K46)="","",INDEX($B$70:$B$121,K46)))</f>
        <v/>
      </c>
      <c r="D46" s="25" t="str">
        <f>IF(K46="","",IF(INDEX($C$70:$C$121,K46)="","",INDEX($C$70:$C$121,K46)))</f>
        <v/>
      </c>
      <c r="E46" s="36" t="str">
        <f>IF(K46="","",IF(INDEX($D$70:$D$121,K46)="","",INDEX($D$70:$D$121,K46)))</f>
        <v/>
      </c>
      <c r="F46" s="18" t="str">
        <f>IF(OR(B46="",NOT(ISNUMBER($B$2))),"",B46-$B$2)</f>
        <v/>
      </c>
      <c r="G46" s="43" t="str">
        <f>IF(OR(B46="",NOT(ISNUMBER($B$2))),"",IF(B46&lt;$B$2,"Passed",IF(B46=$B$2,"Today",IF(AND(E46&lt;&gt;"",E46&lt;=$B$2),"Raise now","Later"))))</f>
        <v/>
      </c>
      <c r="H46" s="43" t="str">
        <f>IF(K46="","",IF(INDEX($E$70:$E$121,K46)="","",INDEX($E$70:$E$121,K46)))</f>
        <v/>
      </c>
      <c r="J46" s="46" t="str">
        <f>IFERROR(SMALL($F$70:$F$121,ROW()-ROW($J$5)),"")</f>
        <v/>
      </c>
      <c r="K46" s="18" t="str">
        <f>IF(J46="","",MATCH(J46,$F$70:$F$121,0))</f>
        <v/>
      </c>
    </row>
    <row r="47">
      <c r="A47" s="18" t="str">
        <f>IF(B47="","",ROW()-ROW($A$5))</f>
        <v/>
      </c>
      <c r="B47" s="36" t="str">
        <f>IF(K47="","",IF(INDEX($A$70:$A$121,K47)="","",INDEX($A$70:$A$121,K47)))</f>
        <v/>
      </c>
      <c r="C47" s="43" t="str">
        <f>IF(K47="","",IF(INDEX($B$70:$B$121,K47)="","",INDEX($B$70:$B$121,K47)))</f>
        <v/>
      </c>
      <c r="D47" s="25" t="str">
        <f>IF(K47="","",IF(INDEX($C$70:$C$121,K47)="","",INDEX($C$70:$C$121,K47)))</f>
        <v/>
      </c>
      <c r="E47" s="36" t="str">
        <f>IF(K47="","",IF(INDEX($D$70:$D$121,K47)="","",INDEX($D$70:$D$121,K47)))</f>
        <v/>
      </c>
      <c r="F47" s="18" t="str">
        <f>IF(OR(B47="",NOT(ISNUMBER($B$2))),"",B47-$B$2)</f>
        <v/>
      </c>
      <c r="G47" s="43" t="str">
        <f>IF(OR(B47="",NOT(ISNUMBER($B$2))),"",IF(B47&lt;$B$2,"Passed",IF(B47=$B$2,"Today",IF(AND(E47&lt;&gt;"",E47&lt;=$B$2),"Raise now","Later"))))</f>
        <v/>
      </c>
      <c r="H47" s="43" t="str">
        <f>IF(K47="","",IF(INDEX($E$70:$E$121,K47)="","",INDEX($E$70:$E$121,K47)))</f>
        <v/>
      </c>
      <c r="J47" s="46" t="str">
        <f>IFERROR(SMALL($F$70:$F$121,ROW()-ROW($J$5)),"")</f>
        <v/>
      </c>
      <c r="K47" s="18" t="str">
        <f>IF(J47="","",MATCH(J47,$F$70:$F$121,0))</f>
        <v/>
      </c>
    </row>
    <row r="48">
      <c r="A48" s="18" t="str">
        <f>IF(B48="","",ROW()-ROW($A$5))</f>
        <v/>
      </c>
      <c r="B48" s="36" t="str">
        <f>IF(K48="","",IF(INDEX($A$70:$A$121,K48)="","",INDEX($A$70:$A$121,K48)))</f>
        <v/>
      </c>
      <c r="C48" s="43" t="str">
        <f>IF(K48="","",IF(INDEX($B$70:$B$121,K48)="","",INDEX($B$70:$B$121,K48)))</f>
        <v/>
      </c>
      <c r="D48" s="25" t="str">
        <f>IF(K48="","",IF(INDEX($C$70:$C$121,K48)="","",INDEX($C$70:$C$121,K48)))</f>
        <v/>
      </c>
      <c r="E48" s="36" t="str">
        <f>IF(K48="","",IF(INDEX($D$70:$D$121,K48)="","",INDEX($D$70:$D$121,K48)))</f>
        <v/>
      </c>
      <c r="F48" s="18" t="str">
        <f>IF(OR(B48="",NOT(ISNUMBER($B$2))),"",B48-$B$2)</f>
        <v/>
      </c>
      <c r="G48" s="43" t="str">
        <f>IF(OR(B48="",NOT(ISNUMBER($B$2))),"",IF(B48&lt;$B$2,"Passed",IF(B48=$B$2,"Today",IF(AND(E48&lt;&gt;"",E48&lt;=$B$2),"Raise now","Later"))))</f>
        <v/>
      </c>
      <c r="H48" s="43" t="str">
        <f>IF(K48="","",IF(INDEX($E$70:$E$121,K48)="","",INDEX($E$70:$E$121,K48)))</f>
        <v/>
      </c>
      <c r="J48" s="46" t="str">
        <f>IFERROR(SMALL($F$70:$F$121,ROW()-ROW($J$5)),"")</f>
        <v/>
      </c>
      <c r="K48" s="18" t="str">
        <f>IF(J48="","",MATCH(J48,$F$70:$F$121,0))</f>
        <v/>
      </c>
    </row>
    <row r="49">
      <c r="A49" s="18" t="str">
        <f>IF(B49="","",ROW()-ROW($A$5))</f>
        <v/>
      </c>
      <c r="B49" s="36" t="str">
        <f>IF(K49="","",IF(INDEX($A$70:$A$121,K49)="","",INDEX($A$70:$A$121,K49)))</f>
        <v/>
      </c>
      <c r="C49" s="43" t="str">
        <f>IF(K49="","",IF(INDEX($B$70:$B$121,K49)="","",INDEX($B$70:$B$121,K49)))</f>
        <v/>
      </c>
      <c r="D49" s="25" t="str">
        <f>IF(K49="","",IF(INDEX($C$70:$C$121,K49)="","",INDEX($C$70:$C$121,K49)))</f>
        <v/>
      </c>
      <c r="E49" s="36" t="str">
        <f>IF(K49="","",IF(INDEX($D$70:$D$121,K49)="","",INDEX($D$70:$D$121,K49)))</f>
        <v/>
      </c>
      <c r="F49" s="18" t="str">
        <f>IF(OR(B49="",NOT(ISNUMBER($B$2))),"",B49-$B$2)</f>
        <v/>
      </c>
      <c r="G49" s="43" t="str">
        <f>IF(OR(B49="",NOT(ISNUMBER($B$2))),"",IF(B49&lt;$B$2,"Passed",IF(B49=$B$2,"Today",IF(AND(E49&lt;&gt;"",E49&lt;=$B$2),"Raise now","Later"))))</f>
        <v/>
      </c>
      <c r="H49" s="43" t="str">
        <f>IF(K49="","",IF(INDEX($E$70:$E$121,K49)="","",INDEX($E$70:$E$121,K49)))</f>
        <v/>
      </c>
      <c r="J49" s="46" t="str">
        <f>IFERROR(SMALL($F$70:$F$121,ROW()-ROW($J$5)),"")</f>
        <v/>
      </c>
      <c r="K49" s="18" t="str">
        <f>IF(J49="","",MATCH(J49,$F$70:$F$121,0))</f>
        <v/>
      </c>
    </row>
    <row r="50">
      <c r="A50" s="18" t="str">
        <f>IF(B50="","",ROW()-ROW($A$5))</f>
        <v/>
      </c>
      <c r="B50" s="36" t="str">
        <f>IF(K50="","",IF(INDEX($A$70:$A$121,K50)="","",INDEX($A$70:$A$121,K50)))</f>
        <v/>
      </c>
      <c r="C50" s="43" t="str">
        <f>IF(K50="","",IF(INDEX($B$70:$B$121,K50)="","",INDEX($B$70:$B$121,K50)))</f>
        <v/>
      </c>
      <c r="D50" s="25" t="str">
        <f>IF(K50="","",IF(INDEX($C$70:$C$121,K50)="","",INDEX($C$70:$C$121,K50)))</f>
        <v/>
      </c>
      <c r="E50" s="36" t="str">
        <f>IF(K50="","",IF(INDEX($D$70:$D$121,K50)="","",INDEX($D$70:$D$121,K50)))</f>
        <v/>
      </c>
      <c r="F50" s="18" t="str">
        <f>IF(OR(B50="",NOT(ISNUMBER($B$2))),"",B50-$B$2)</f>
        <v/>
      </c>
      <c r="G50" s="43" t="str">
        <f>IF(OR(B50="",NOT(ISNUMBER($B$2))),"",IF(B50&lt;$B$2,"Passed",IF(B50=$B$2,"Today",IF(AND(E50&lt;&gt;"",E50&lt;=$B$2),"Raise now","Later"))))</f>
        <v/>
      </c>
      <c r="H50" s="43" t="str">
        <f>IF(K50="","",IF(INDEX($E$70:$E$121,K50)="","",INDEX($E$70:$E$121,K50)))</f>
        <v/>
      </c>
      <c r="J50" s="46" t="str">
        <f>IFERROR(SMALL($F$70:$F$121,ROW()-ROW($J$5)),"")</f>
        <v/>
      </c>
      <c r="K50" s="18" t="str">
        <f>IF(J50="","",MATCH(J50,$F$70:$F$121,0))</f>
        <v/>
      </c>
    </row>
    <row r="51">
      <c r="A51" s="18" t="str">
        <f>IF(B51="","",ROW()-ROW($A$5))</f>
        <v/>
      </c>
      <c r="B51" s="36" t="str">
        <f>IF(K51="","",IF(INDEX($A$70:$A$121,K51)="","",INDEX($A$70:$A$121,K51)))</f>
        <v/>
      </c>
      <c r="C51" s="43" t="str">
        <f>IF(K51="","",IF(INDEX($B$70:$B$121,K51)="","",INDEX($B$70:$B$121,K51)))</f>
        <v/>
      </c>
      <c r="D51" s="25" t="str">
        <f>IF(K51="","",IF(INDEX($C$70:$C$121,K51)="","",INDEX($C$70:$C$121,K51)))</f>
        <v/>
      </c>
      <c r="E51" s="36" t="str">
        <f>IF(K51="","",IF(INDEX($D$70:$D$121,K51)="","",INDEX($D$70:$D$121,K51)))</f>
        <v/>
      </c>
      <c r="F51" s="18" t="str">
        <f>IF(OR(B51="",NOT(ISNUMBER($B$2))),"",B51-$B$2)</f>
        <v/>
      </c>
      <c r="G51" s="43" t="str">
        <f>IF(OR(B51="",NOT(ISNUMBER($B$2))),"",IF(B51&lt;$B$2,"Passed",IF(B51=$B$2,"Today",IF(AND(E51&lt;&gt;"",E51&lt;=$B$2),"Raise now","Later"))))</f>
        <v/>
      </c>
      <c r="H51" s="43" t="str">
        <f>IF(K51="","",IF(INDEX($E$70:$E$121,K51)="","",INDEX($E$70:$E$121,K51)))</f>
        <v/>
      </c>
      <c r="J51" s="46" t="str">
        <f>IFERROR(SMALL($F$70:$F$121,ROW()-ROW($J$5)),"")</f>
        <v/>
      </c>
      <c r="K51" s="18" t="str">
        <f>IF(J51="","",MATCH(J51,$F$70:$F$121,0))</f>
        <v/>
      </c>
    </row>
    <row r="52">
      <c r="A52" s="18" t="str">
        <f>IF(B52="","",ROW()-ROW($A$5))</f>
        <v/>
      </c>
      <c r="B52" s="36" t="str">
        <f>IF(K52="","",IF(INDEX($A$70:$A$121,K52)="","",INDEX($A$70:$A$121,K52)))</f>
        <v/>
      </c>
      <c r="C52" s="43" t="str">
        <f>IF(K52="","",IF(INDEX($B$70:$B$121,K52)="","",INDEX($B$70:$B$121,K52)))</f>
        <v/>
      </c>
      <c r="D52" s="25" t="str">
        <f>IF(K52="","",IF(INDEX($C$70:$C$121,K52)="","",INDEX($C$70:$C$121,K52)))</f>
        <v/>
      </c>
      <c r="E52" s="36" t="str">
        <f>IF(K52="","",IF(INDEX($D$70:$D$121,K52)="","",INDEX($D$70:$D$121,K52)))</f>
        <v/>
      </c>
      <c r="F52" s="18" t="str">
        <f>IF(OR(B52="",NOT(ISNUMBER($B$2))),"",B52-$B$2)</f>
        <v/>
      </c>
      <c r="G52" s="43" t="str">
        <f>IF(OR(B52="",NOT(ISNUMBER($B$2))),"",IF(B52&lt;$B$2,"Passed",IF(B52=$B$2,"Today",IF(AND(E52&lt;&gt;"",E52&lt;=$B$2),"Raise now","Later"))))</f>
        <v/>
      </c>
      <c r="H52" s="43" t="str">
        <f>IF(K52="","",IF(INDEX($E$70:$E$121,K52)="","",INDEX($E$70:$E$121,K52)))</f>
        <v/>
      </c>
      <c r="J52" s="46" t="str">
        <f>IFERROR(SMALL($F$70:$F$121,ROW()-ROW($J$5)),"")</f>
        <v/>
      </c>
      <c r="K52" s="18" t="str">
        <f>IF(J52="","",MATCH(J52,$F$70:$F$121,0))</f>
        <v/>
      </c>
    </row>
    <row r="53">
      <c r="A53" s="18" t="str">
        <f>IF(B53="","",ROW()-ROW($A$5))</f>
        <v/>
      </c>
      <c r="B53" s="36" t="str">
        <f>IF(K53="","",IF(INDEX($A$70:$A$121,K53)="","",INDEX($A$70:$A$121,K53)))</f>
        <v/>
      </c>
      <c r="C53" s="43" t="str">
        <f>IF(K53="","",IF(INDEX($B$70:$B$121,K53)="","",INDEX($B$70:$B$121,K53)))</f>
        <v/>
      </c>
      <c r="D53" s="25" t="str">
        <f>IF(K53="","",IF(INDEX($C$70:$C$121,K53)="","",INDEX($C$70:$C$121,K53)))</f>
        <v/>
      </c>
      <c r="E53" s="36" t="str">
        <f>IF(K53="","",IF(INDEX($D$70:$D$121,K53)="","",INDEX($D$70:$D$121,K53)))</f>
        <v/>
      </c>
      <c r="F53" s="18" t="str">
        <f>IF(OR(B53="",NOT(ISNUMBER($B$2))),"",B53-$B$2)</f>
        <v/>
      </c>
      <c r="G53" s="43" t="str">
        <f>IF(OR(B53="",NOT(ISNUMBER($B$2))),"",IF(B53&lt;$B$2,"Passed",IF(B53=$B$2,"Today",IF(AND(E53&lt;&gt;"",E53&lt;=$B$2),"Raise now","Later"))))</f>
        <v/>
      </c>
      <c r="H53" s="43" t="str">
        <f>IF(K53="","",IF(INDEX($E$70:$E$121,K53)="","",INDEX($E$70:$E$121,K53)))</f>
        <v/>
      </c>
      <c r="J53" s="46" t="str">
        <f>IFERROR(SMALL($F$70:$F$121,ROW()-ROW($J$5)),"")</f>
        <v/>
      </c>
      <c r="K53" s="18" t="str">
        <f>IF(J53="","",MATCH(J53,$F$70:$F$121,0))</f>
        <v/>
      </c>
    </row>
    <row r="54">
      <c r="A54" s="18" t="str">
        <f>IF(B54="","",ROW()-ROW($A$5))</f>
        <v/>
      </c>
      <c r="B54" s="36" t="str">
        <f>IF(K54="","",IF(INDEX($A$70:$A$121,K54)="","",INDEX($A$70:$A$121,K54)))</f>
        <v/>
      </c>
      <c r="C54" s="43" t="str">
        <f>IF(K54="","",IF(INDEX($B$70:$B$121,K54)="","",INDEX($B$70:$B$121,K54)))</f>
        <v/>
      </c>
      <c r="D54" s="25" t="str">
        <f>IF(K54="","",IF(INDEX($C$70:$C$121,K54)="","",INDEX($C$70:$C$121,K54)))</f>
        <v/>
      </c>
      <c r="E54" s="36" t="str">
        <f>IF(K54="","",IF(INDEX($D$70:$D$121,K54)="","",INDEX($D$70:$D$121,K54)))</f>
        <v/>
      </c>
      <c r="F54" s="18" t="str">
        <f>IF(OR(B54="",NOT(ISNUMBER($B$2))),"",B54-$B$2)</f>
        <v/>
      </c>
      <c r="G54" s="43" t="str">
        <f>IF(OR(B54="",NOT(ISNUMBER($B$2))),"",IF(B54&lt;$B$2,"Passed",IF(B54=$B$2,"Today",IF(AND(E54&lt;&gt;"",E54&lt;=$B$2),"Raise now","Later"))))</f>
        <v/>
      </c>
      <c r="H54" s="43" t="str">
        <f>IF(K54="","",IF(INDEX($E$70:$E$121,K54)="","",INDEX($E$70:$E$121,K54)))</f>
        <v/>
      </c>
      <c r="J54" s="46" t="str">
        <f>IFERROR(SMALL($F$70:$F$121,ROW()-ROW($J$5)),"")</f>
        <v/>
      </c>
      <c r="K54" s="18" t="str">
        <f>IF(J54="","",MATCH(J54,$F$70:$F$121,0))</f>
        <v/>
      </c>
    </row>
    <row r="55">
      <c r="A55" s="18" t="str">
        <f>IF(B55="","",ROW()-ROW($A$5))</f>
        <v/>
      </c>
      <c r="B55" s="36" t="str">
        <f>IF(K55="","",IF(INDEX($A$70:$A$121,K55)="","",INDEX($A$70:$A$121,K55)))</f>
        <v/>
      </c>
      <c r="C55" s="43" t="str">
        <f>IF(K55="","",IF(INDEX($B$70:$B$121,K55)="","",INDEX($B$70:$B$121,K55)))</f>
        <v/>
      </c>
      <c r="D55" s="25" t="str">
        <f>IF(K55="","",IF(INDEX($C$70:$C$121,K55)="","",INDEX($C$70:$C$121,K55)))</f>
        <v/>
      </c>
      <c r="E55" s="36" t="str">
        <f>IF(K55="","",IF(INDEX($D$70:$D$121,K55)="","",INDEX($D$70:$D$121,K55)))</f>
        <v/>
      </c>
      <c r="F55" s="18" t="str">
        <f>IF(OR(B55="",NOT(ISNUMBER($B$2))),"",B55-$B$2)</f>
        <v/>
      </c>
      <c r="G55" s="43" t="str">
        <f>IF(OR(B55="",NOT(ISNUMBER($B$2))),"",IF(B55&lt;$B$2,"Passed",IF(B55=$B$2,"Today",IF(AND(E55&lt;&gt;"",E55&lt;=$B$2),"Raise now","Later"))))</f>
        <v/>
      </c>
      <c r="H55" s="43" t="str">
        <f>IF(K55="","",IF(INDEX($E$70:$E$121,K55)="","",INDEX($E$70:$E$121,K55)))</f>
        <v/>
      </c>
      <c r="J55" s="46" t="str">
        <f>IFERROR(SMALL($F$70:$F$121,ROW()-ROW($J$5)),"")</f>
        <v/>
      </c>
      <c r="K55" s="18" t="str">
        <f>IF(J55="","",MATCH(J55,$F$70:$F$121,0))</f>
        <v/>
      </c>
    </row>
    <row r="56">
      <c r="A56" s="18" t="str">
        <f>IF(B56="","",ROW()-ROW($A$5))</f>
        <v/>
      </c>
      <c r="B56" s="36" t="str">
        <f>IF(K56="","",IF(INDEX($A$70:$A$121,K56)="","",INDEX($A$70:$A$121,K56)))</f>
        <v/>
      </c>
      <c r="C56" s="43" t="str">
        <f>IF(K56="","",IF(INDEX($B$70:$B$121,K56)="","",INDEX($B$70:$B$121,K56)))</f>
        <v/>
      </c>
      <c r="D56" s="25" t="str">
        <f>IF(K56="","",IF(INDEX($C$70:$C$121,K56)="","",INDEX($C$70:$C$121,K56)))</f>
        <v/>
      </c>
      <c r="E56" s="36" t="str">
        <f>IF(K56="","",IF(INDEX($D$70:$D$121,K56)="","",INDEX($D$70:$D$121,K56)))</f>
        <v/>
      </c>
      <c r="F56" s="18" t="str">
        <f>IF(OR(B56="",NOT(ISNUMBER($B$2))),"",B56-$B$2)</f>
        <v/>
      </c>
      <c r="G56" s="43" t="str">
        <f>IF(OR(B56="",NOT(ISNUMBER($B$2))),"",IF(B56&lt;$B$2,"Passed",IF(B56=$B$2,"Today",IF(AND(E56&lt;&gt;"",E56&lt;=$B$2),"Raise now","Later"))))</f>
        <v/>
      </c>
      <c r="H56" s="43" t="str">
        <f>IF(K56="","",IF(INDEX($E$70:$E$121,K56)="","",INDEX($E$70:$E$121,K56)))</f>
        <v/>
      </c>
      <c r="J56" s="46" t="str">
        <f>IFERROR(SMALL($F$70:$F$121,ROW()-ROW($J$5)),"")</f>
        <v/>
      </c>
      <c r="K56" s="18" t="str">
        <f>IF(J56="","",MATCH(J56,$F$70:$F$121,0))</f>
        <v/>
      </c>
    </row>
    <row r="57">
      <c r="A57" s="18" t="str">
        <f>IF(B57="","",ROW()-ROW($A$5))</f>
        <v/>
      </c>
      <c r="B57" s="36" t="str">
        <f>IF(K57="","",IF(INDEX($A$70:$A$121,K57)="","",INDEX($A$70:$A$121,K57)))</f>
        <v/>
      </c>
      <c r="C57" s="43" t="str">
        <f>IF(K57="","",IF(INDEX($B$70:$B$121,K57)="","",INDEX($B$70:$B$121,K57)))</f>
        <v/>
      </c>
      <c r="D57" s="25" t="str">
        <f>IF(K57="","",IF(INDEX($C$70:$C$121,K57)="","",INDEX($C$70:$C$121,K57)))</f>
        <v/>
      </c>
      <c r="E57" s="36" t="str">
        <f>IF(K57="","",IF(INDEX($D$70:$D$121,K57)="","",INDEX($D$70:$D$121,K57)))</f>
        <v/>
      </c>
      <c r="F57" s="18" t="str">
        <f>IF(OR(B57="",NOT(ISNUMBER($B$2))),"",B57-$B$2)</f>
        <v/>
      </c>
      <c r="G57" s="43" t="str">
        <f>IF(OR(B57="",NOT(ISNUMBER($B$2))),"",IF(B57&lt;$B$2,"Passed",IF(B57=$B$2,"Today",IF(AND(E57&lt;&gt;"",E57&lt;=$B$2),"Raise now","Later"))))</f>
        <v/>
      </c>
      <c r="H57" s="43" t="str">
        <f>IF(K57="","",IF(INDEX($E$70:$E$121,K57)="","",INDEX($E$70:$E$121,K57)))</f>
        <v/>
      </c>
      <c r="J57" s="46" t="str">
        <f>IFERROR(SMALL($F$70:$F$121,ROW()-ROW($J$5)),"")</f>
        <v/>
      </c>
      <c r="K57" s="18" t="str">
        <f>IF(J57="","",MATCH(J57,$F$70:$F$121,0))</f>
        <v/>
      </c>
    </row>
    <row r="58">
      <c r="A58" s="18" t="str">
        <f>IF(B58="","",ROW()-ROW($A$5))</f>
        <v/>
      </c>
      <c r="B58" s="36" t="str">
        <f>IF(K58="","",IF(INDEX($A$70:$A$121,K58)="","",INDEX($A$70:$A$121,K58)))</f>
        <v/>
      </c>
      <c r="C58" s="43" t="str">
        <f>IF(K58="","",IF(INDEX($B$70:$B$121,K58)="","",INDEX($B$70:$B$121,K58)))</f>
        <v/>
      </c>
      <c r="D58" s="25" t="str">
        <f>IF(K58="","",IF(INDEX($C$70:$C$121,K58)="","",INDEX($C$70:$C$121,K58)))</f>
        <v/>
      </c>
      <c r="E58" s="36" t="str">
        <f>IF(K58="","",IF(INDEX($D$70:$D$121,K58)="","",INDEX($D$70:$D$121,K58)))</f>
        <v/>
      </c>
      <c r="F58" s="18" t="str">
        <f>IF(OR(B58="",NOT(ISNUMBER($B$2))),"",B58-$B$2)</f>
        <v/>
      </c>
      <c r="G58" s="43" t="str">
        <f>IF(OR(B58="",NOT(ISNUMBER($B$2))),"",IF(B58&lt;$B$2,"Passed",IF(B58=$B$2,"Today",IF(AND(E58&lt;&gt;"",E58&lt;=$B$2),"Raise now","Later"))))</f>
        <v/>
      </c>
      <c r="H58" s="43" t="str">
        <f>IF(K58="","",IF(INDEX($E$70:$E$121,K58)="","",INDEX($E$70:$E$121,K58)))</f>
        <v/>
      </c>
      <c r="J58" s="46" t="str">
        <f>IFERROR(SMALL($F$70:$F$121,ROW()-ROW($J$5)),"")</f>
        <v/>
      </c>
      <c r="K58" s="18" t="str">
        <f>IF(J58="","",MATCH(J58,$F$70:$F$121,0))</f>
        <v/>
      </c>
    </row>
    <row r="59">
      <c r="A59" s="18" t="str">
        <f>IF(B59="","",ROW()-ROW($A$5))</f>
        <v/>
      </c>
      <c r="B59" s="36" t="str">
        <f>IF(K59="","",IF(INDEX($A$70:$A$121,K59)="","",INDEX($A$70:$A$121,K59)))</f>
        <v/>
      </c>
      <c r="C59" s="43" t="str">
        <f>IF(K59="","",IF(INDEX($B$70:$B$121,K59)="","",INDEX($B$70:$B$121,K59)))</f>
        <v/>
      </c>
      <c r="D59" s="25" t="str">
        <f>IF(K59="","",IF(INDEX($C$70:$C$121,K59)="","",INDEX($C$70:$C$121,K59)))</f>
        <v/>
      </c>
      <c r="E59" s="36" t="str">
        <f>IF(K59="","",IF(INDEX($D$70:$D$121,K59)="","",INDEX($D$70:$D$121,K59)))</f>
        <v/>
      </c>
      <c r="F59" s="18" t="str">
        <f>IF(OR(B59="",NOT(ISNUMBER($B$2))),"",B59-$B$2)</f>
        <v/>
      </c>
      <c r="G59" s="43" t="str">
        <f>IF(OR(B59="",NOT(ISNUMBER($B$2))),"",IF(B59&lt;$B$2,"Passed",IF(B59=$B$2,"Today",IF(AND(E59&lt;&gt;"",E59&lt;=$B$2),"Raise now","Later"))))</f>
        <v/>
      </c>
      <c r="H59" s="43" t="str">
        <f>IF(K59="","",IF(INDEX($E$70:$E$121,K59)="","",INDEX($E$70:$E$121,K59)))</f>
        <v/>
      </c>
      <c r="J59" s="46" t="str">
        <f>IFERROR(SMALL($F$70:$F$121,ROW()-ROW($J$5)),"")</f>
        <v/>
      </c>
      <c r="K59" s="18" t="str">
        <f>IF(J59="","",MATCH(J59,$F$70:$F$121,0))</f>
        <v/>
      </c>
    </row>
    <row r="60">
      <c r="A60" s="18" t="str">
        <f>IF(B60="","",ROW()-ROW($A$5))</f>
        <v/>
      </c>
      <c r="B60" s="36" t="str">
        <f>IF(K60="","",IF(INDEX($A$70:$A$121,K60)="","",INDEX($A$70:$A$121,K60)))</f>
        <v/>
      </c>
      <c r="C60" s="43" t="str">
        <f>IF(K60="","",IF(INDEX($B$70:$B$121,K60)="","",INDEX($B$70:$B$121,K60)))</f>
        <v/>
      </c>
      <c r="D60" s="25" t="str">
        <f>IF(K60="","",IF(INDEX($C$70:$C$121,K60)="","",INDEX($C$70:$C$121,K60)))</f>
        <v/>
      </c>
      <c r="E60" s="36" t="str">
        <f>IF(K60="","",IF(INDEX($D$70:$D$121,K60)="","",INDEX($D$70:$D$121,K60)))</f>
        <v/>
      </c>
      <c r="F60" s="18" t="str">
        <f>IF(OR(B60="",NOT(ISNUMBER($B$2))),"",B60-$B$2)</f>
        <v/>
      </c>
      <c r="G60" s="43" t="str">
        <f>IF(OR(B60="",NOT(ISNUMBER($B$2))),"",IF(B60&lt;$B$2,"Passed",IF(B60=$B$2,"Today",IF(AND(E60&lt;&gt;"",E60&lt;=$B$2),"Raise now","Later"))))</f>
        <v/>
      </c>
      <c r="H60" s="43" t="str">
        <f>IF(K60="","",IF(INDEX($E$70:$E$121,K60)="","",INDEX($E$70:$E$121,K60)))</f>
        <v/>
      </c>
      <c r="J60" s="46" t="str">
        <f>IFERROR(SMALL($F$70:$F$121,ROW()-ROW($J$5)),"")</f>
        <v/>
      </c>
      <c r="K60" s="18" t="str">
        <f>IF(J60="","",MATCH(J60,$F$70:$F$121,0))</f>
        <v/>
      </c>
    </row>
    <row r="61">
      <c r="A61" s="18" t="str">
        <f>IF(B61="","",ROW()-ROW($A$5))</f>
        <v/>
      </c>
      <c r="B61" s="36" t="str">
        <f>IF(K61="","",IF(INDEX($A$70:$A$121,K61)="","",INDEX($A$70:$A$121,K61)))</f>
        <v/>
      </c>
      <c r="C61" s="43" t="str">
        <f>IF(K61="","",IF(INDEX($B$70:$B$121,K61)="","",INDEX($B$70:$B$121,K61)))</f>
        <v/>
      </c>
      <c r="D61" s="25" t="str">
        <f>IF(K61="","",IF(INDEX($C$70:$C$121,K61)="","",INDEX($C$70:$C$121,K61)))</f>
        <v/>
      </c>
      <c r="E61" s="36" t="str">
        <f>IF(K61="","",IF(INDEX($D$70:$D$121,K61)="","",INDEX($D$70:$D$121,K61)))</f>
        <v/>
      </c>
      <c r="F61" s="18" t="str">
        <f>IF(OR(B61="",NOT(ISNUMBER($B$2))),"",B61-$B$2)</f>
        <v/>
      </c>
      <c r="G61" s="43" t="str">
        <f>IF(OR(B61="",NOT(ISNUMBER($B$2))),"",IF(B61&lt;$B$2,"Passed",IF(B61=$B$2,"Today",IF(AND(E61&lt;&gt;"",E61&lt;=$B$2),"Raise now","Later"))))</f>
        <v/>
      </c>
      <c r="H61" s="43" t="str">
        <f>IF(K61="","",IF(INDEX($E$70:$E$121,K61)="","",INDEX($E$70:$E$121,K61)))</f>
        <v/>
      </c>
      <c r="J61" s="46" t="str">
        <f>IFERROR(SMALL($F$70:$F$121,ROW()-ROW($J$5)),"")</f>
        <v/>
      </c>
      <c r="K61" s="18" t="str">
        <f>IF(J61="","",MATCH(J61,$F$70:$F$121,0))</f>
        <v/>
      </c>
    </row>
    <row r="62">
      <c r="A62" s="18" t="str">
        <f>IF(B62="","",ROW()-ROW($A$5))</f>
        <v/>
      </c>
      <c r="B62" s="36" t="str">
        <f>IF(K62="","",IF(INDEX($A$70:$A$121,K62)="","",INDEX($A$70:$A$121,K62)))</f>
        <v/>
      </c>
      <c r="C62" s="43" t="str">
        <f>IF(K62="","",IF(INDEX($B$70:$B$121,K62)="","",INDEX($B$70:$B$121,K62)))</f>
        <v/>
      </c>
      <c r="D62" s="25" t="str">
        <f>IF(K62="","",IF(INDEX($C$70:$C$121,K62)="","",INDEX($C$70:$C$121,K62)))</f>
        <v/>
      </c>
      <c r="E62" s="36" t="str">
        <f>IF(K62="","",IF(INDEX($D$70:$D$121,K62)="","",INDEX($D$70:$D$121,K62)))</f>
        <v/>
      </c>
      <c r="F62" s="18" t="str">
        <f>IF(OR(B62="",NOT(ISNUMBER($B$2))),"",B62-$B$2)</f>
        <v/>
      </c>
      <c r="G62" s="43" t="str">
        <f>IF(OR(B62="",NOT(ISNUMBER($B$2))),"",IF(B62&lt;$B$2,"Passed",IF(B62=$B$2,"Today",IF(AND(E62&lt;&gt;"",E62&lt;=$B$2),"Raise now","Later"))))</f>
        <v/>
      </c>
      <c r="H62" s="43" t="str">
        <f>IF(K62="","",IF(INDEX($E$70:$E$121,K62)="","",INDEX($E$70:$E$121,K62)))</f>
        <v/>
      </c>
      <c r="J62" s="46" t="str">
        <f>IFERROR(SMALL($F$70:$F$121,ROW()-ROW($J$5)),"")</f>
        <v/>
      </c>
      <c r="K62" s="18" t="str">
        <f>IF(J62="","",MATCH(J62,$F$70:$F$121,0))</f>
        <v/>
      </c>
    </row>
    <row r="63">
      <c r="A63" s="18" t="str">
        <f>IF(B63="","",ROW()-ROW($A$5))</f>
        <v/>
      </c>
      <c r="B63" s="36" t="str">
        <f>IF(K63="","",IF(INDEX($A$70:$A$121,K63)="","",INDEX($A$70:$A$121,K63)))</f>
        <v/>
      </c>
      <c r="C63" s="43" t="str">
        <f>IF(K63="","",IF(INDEX($B$70:$B$121,K63)="","",INDEX($B$70:$B$121,K63)))</f>
        <v/>
      </c>
      <c r="D63" s="25" t="str">
        <f>IF(K63="","",IF(INDEX($C$70:$C$121,K63)="","",INDEX($C$70:$C$121,K63)))</f>
        <v/>
      </c>
      <c r="E63" s="36" t="str">
        <f>IF(K63="","",IF(INDEX($D$70:$D$121,K63)="","",INDEX($D$70:$D$121,K63)))</f>
        <v/>
      </c>
      <c r="F63" s="18" t="str">
        <f>IF(OR(B63="",NOT(ISNUMBER($B$2))),"",B63-$B$2)</f>
        <v/>
      </c>
      <c r="G63" s="43" t="str">
        <f>IF(OR(B63="",NOT(ISNUMBER($B$2))),"",IF(B63&lt;$B$2,"Passed",IF(B63=$B$2,"Today",IF(AND(E63&lt;&gt;"",E63&lt;=$B$2),"Raise now","Later"))))</f>
        <v/>
      </c>
      <c r="H63" s="43" t="str">
        <f>IF(K63="","",IF(INDEX($E$70:$E$121,K63)="","",INDEX($E$70:$E$121,K63)))</f>
        <v/>
      </c>
      <c r="J63" s="46" t="str">
        <f>IFERROR(SMALL($F$70:$F$121,ROW()-ROW($J$5)),"")</f>
        <v/>
      </c>
      <c r="K63" s="18" t="str">
        <f>IF(J63="","",MATCH(J63,$F$70:$F$121,0))</f>
        <v/>
      </c>
    </row>
    <row r="64">
      <c r="A64" s="18" t="str">
        <f>IF(B64="","",ROW()-ROW($A$5))</f>
        <v/>
      </c>
      <c r="B64" s="36" t="str">
        <f>IF(K64="","",IF(INDEX($A$70:$A$121,K64)="","",INDEX($A$70:$A$121,K64)))</f>
        <v/>
      </c>
      <c r="C64" s="43" t="str">
        <f>IF(K64="","",IF(INDEX($B$70:$B$121,K64)="","",INDEX($B$70:$B$121,K64)))</f>
        <v/>
      </c>
      <c r="D64" s="25" t="str">
        <f>IF(K64="","",IF(INDEX($C$70:$C$121,K64)="","",INDEX($C$70:$C$121,K64)))</f>
        <v/>
      </c>
      <c r="E64" s="36" t="str">
        <f>IF(K64="","",IF(INDEX($D$70:$D$121,K64)="","",INDEX($D$70:$D$121,K64)))</f>
        <v/>
      </c>
      <c r="F64" s="18" t="str">
        <f>IF(OR(B64="",NOT(ISNUMBER($B$2))),"",B64-$B$2)</f>
        <v/>
      </c>
      <c r="G64" s="43" t="str">
        <f>IF(OR(B64="",NOT(ISNUMBER($B$2))),"",IF(B64&lt;$B$2,"Passed",IF(B64=$B$2,"Today",IF(AND(E64&lt;&gt;"",E64&lt;=$B$2),"Raise now","Later"))))</f>
        <v/>
      </c>
      <c r="H64" s="43" t="str">
        <f>IF(K64="","",IF(INDEX($E$70:$E$121,K64)="","",INDEX($E$70:$E$121,K64)))</f>
        <v/>
      </c>
      <c r="J64" s="46" t="str">
        <f>IFERROR(SMALL($F$70:$F$121,ROW()-ROW($J$5)),"")</f>
        <v/>
      </c>
      <c r="K64" s="18" t="str">
        <f>IF(J64="","",MATCH(J64,$F$70:$F$121,0))</f>
        <v/>
      </c>
    </row>
    <row r="65">
      <c r="A65" s="18" t="str">
        <f>IF(B65="","",ROW()-ROW($A$5))</f>
        <v/>
      </c>
      <c r="B65" s="36" t="str">
        <f>IF(K65="","",IF(INDEX($A$70:$A$121,K65)="","",INDEX($A$70:$A$121,K65)))</f>
        <v/>
      </c>
      <c r="C65" s="43" t="str">
        <f>IF(K65="","",IF(INDEX($B$70:$B$121,K65)="","",INDEX($B$70:$B$121,K65)))</f>
        <v/>
      </c>
      <c r="D65" s="25" t="str">
        <f>IF(K65="","",IF(INDEX($C$70:$C$121,K65)="","",INDEX($C$70:$C$121,K65)))</f>
        <v/>
      </c>
      <c r="E65" s="36" t="str">
        <f>IF(K65="","",IF(INDEX($D$70:$D$121,K65)="","",INDEX($D$70:$D$121,K65)))</f>
        <v/>
      </c>
      <c r="F65" s="18" t="str">
        <f>IF(OR(B65="",NOT(ISNUMBER($B$2))),"",B65-$B$2)</f>
        <v/>
      </c>
      <c r="G65" s="43" t="str">
        <f>IF(OR(B65="",NOT(ISNUMBER($B$2))),"",IF(B65&lt;$B$2,"Passed",IF(B65=$B$2,"Today",IF(AND(E65&lt;&gt;"",E65&lt;=$B$2),"Raise now","Later"))))</f>
        <v/>
      </c>
      <c r="H65" s="43" t="str">
        <f>IF(K65="","",IF(INDEX($E$70:$E$121,K65)="","",INDEX($E$70:$E$121,K65)))</f>
        <v/>
      </c>
      <c r="J65" s="46" t="str">
        <f>IFERROR(SMALL($F$70:$F$121,ROW()-ROW($J$5)),"")</f>
        <v/>
      </c>
      <c r="K65" s="18" t="str">
        <f>IF(J65="","",MATCH(J65,$F$70:$F$121,0))</f>
        <v/>
      </c>
    </row>
    <row r="66">
      <c r="A66" s="35" t="inlineStr">
        <is>
          <t>Raise on = the date minus the lead time set on the Abstract sheet (rows 97 to 100). The reconciliation rows assume a calendar recovery year.</t>
        </is>
      </c>
    </row>
    <row r="68">
      <c r="A68" s="8" t="inlineStr">
        <is>
          <t>Every date the abstract produces. Leave these: the calendar above sorts them.</t>
        </is>
      </c>
    </row>
    <row r="69">
      <c r="A69" s="11" t="inlineStr">
        <is>
          <t>Date</t>
        </is>
      </c>
      <c r="B69" s="11" t="inlineStr">
        <is>
          <t>Event</t>
        </is>
      </c>
      <c r="C69" s="11" t="inlineStr">
        <is>
          <t>Amount</t>
        </is>
      </c>
      <c r="D69" s="11" t="inlineStr">
        <is>
          <t>Raise on</t>
        </is>
      </c>
      <c r="E69" s="11" t="inlineStr">
        <is>
          <t>Lease reference</t>
        </is>
      </c>
      <c r="F69" s="11" t="inlineStr">
        <is>
          <t>Key</t>
        </is>
      </c>
    </row>
    <row r="70">
      <c r="A70" s="36">
        <f>IF(ISNUMBER(Abstract!$B$27),Abstract!$B$27,"")</f>
        <v>45717</v>
      </c>
      <c r="B70" s="43" t="str">
        <f>"Commencement"</f>
        <v>Commencement</v>
      </c>
      <c r="C70" s="25" t="n"/>
      <c r="D70" s="36" t="n"/>
      <c r="E70" s="43" t="str">
        <f>IF(Abstract!$C$27="","",Abstract!$C$27)</f>
        <v>§3.1</v>
      </c>
      <c r="F70" s="46">
        <f>IF(ISNUMBER(A70),A70+1/1000,"")</f>
        <v>45717.001</v>
      </c>
    </row>
    <row r="71">
      <c r="A71" s="36" t="str">
        <f>IF(AND(ISNUMBER(Abstract!$B$28),Abstract!$B$28&lt;&gt;Abstract!$B$27),Abstract!$B$28,"")</f>
        <v/>
      </c>
      <c r="B71" s="43" t="str">
        <f>"Rent commencement"</f>
        <v>Rent commencement</v>
      </c>
      <c r="C71" s="25" t="n"/>
      <c r="D71" s="36" t="n"/>
      <c r="E71" s="43" t="str">
        <f>IF(Abstract!$C$28="","",Abstract!$C$28)</f>
        <v>§3.1</v>
      </c>
      <c r="F71" s="46" t="str">
        <f>IF(ISNUMBER(A71),A71+2/1000,"")</f>
        <v/>
      </c>
    </row>
    <row r="72">
      <c r="A72" s="36">
        <f>IF('Rent schedule'!$B$7="","",'Rent schedule'!$B$7)</f>
        <v>46082</v>
      </c>
      <c r="B72" s="43" t="str">
        <f>"Rent change, lease year "&amp;'Rent schedule'!$A$7</f>
        <v>Rent change, lease year 2</v>
      </c>
      <c r="C72" s="25">
        <f>IF('Rent schedule'!$E$7="","",'Rent schedule'!$E$7)</f>
        <v>6180</v>
      </c>
      <c r="D72" s="36">
        <f>IF('Rent schedule'!$L$7="","",'Rent schedule'!$L$7)</f>
        <v>46022</v>
      </c>
      <c r="E72" s="43" t="str">
        <f>IF(Abstract!$C$39="","",Abstract!$C$39)</f>
        <v>§4.2</v>
      </c>
      <c r="F72" s="46">
        <f>IF(ISNUMBER(A72),A72+3/1000,"")</f>
        <v>46082.003</v>
      </c>
    </row>
    <row r="73">
      <c r="A73" s="36">
        <f>IF('Rent schedule'!$B$8="","",'Rent schedule'!$B$8)</f>
        <v>46447</v>
      </c>
      <c r="B73" s="43" t="str">
        <f>"Rent change, lease year "&amp;'Rent schedule'!$A$8</f>
        <v>Rent change, lease year 3</v>
      </c>
      <c r="C73" s="25">
        <f>IF('Rent schedule'!$E$8="","",'Rent schedule'!$E$8)</f>
        <v>6365.4</v>
      </c>
      <c r="D73" s="36">
        <f>IF('Rent schedule'!$L$8="","",'Rent schedule'!$L$8)</f>
        <v>46387</v>
      </c>
      <c r="E73" s="43" t="str">
        <f>IF(Abstract!$C$39="","",Abstract!$C$39)</f>
        <v>§4.2</v>
      </c>
      <c r="F73" s="46">
        <f>IF(ISNUMBER(A73),A73+4/1000,"")</f>
        <v>46447.004</v>
      </c>
    </row>
    <row r="74">
      <c r="A74" s="36">
        <f>IF('Rent schedule'!$B$9="","",'Rent schedule'!$B$9)</f>
        <v>46813</v>
      </c>
      <c r="B74" s="43" t="str">
        <f>"Rent change, lease year "&amp;'Rent schedule'!$A$9</f>
        <v>Rent change, lease year 4</v>
      </c>
      <c r="C74" s="25">
        <f>IF('Rent schedule'!$E$9="","",'Rent schedule'!$E$9)</f>
        <v>6556.36</v>
      </c>
      <c r="D74" s="36">
        <f>IF('Rent schedule'!$L$9="","",'Rent schedule'!$L$9)</f>
        <v>46753</v>
      </c>
      <c r="E74" s="43" t="str">
        <f>IF(Abstract!$C$39="","",Abstract!$C$39)</f>
        <v>§4.2</v>
      </c>
      <c r="F74" s="46">
        <f>IF(ISNUMBER(A74),A74+5/1000,"")</f>
        <v>46813.005</v>
      </c>
    </row>
    <row r="75">
      <c r="A75" s="36" t="str">
        <f>IF('Rent schedule'!$B$10="","",'Rent schedule'!$B$10)</f>
        <v/>
      </c>
      <c r="B75" s="43" t="str">
        <f>"Rent change, lease year "&amp;'Rent schedule'!$A$10</f>
        <v>Rent change, lease year 5</v>
      </c>
      <c r="C75" s="25" t="str">
        <f>IF('Rent schedule'!$E$10="","",'Rent schedule'!$E$10)</f>
        <v/>
      </c>
      <c r="D75" s="36" t="str">
        <f>IF('Rent schedule'!$L$10="","",'Rent schedule'!$L$10)</f>
        <v/>
      </c>
      <c r="E75" s="43" t="str">
        <f>IF(Abstract!$C$39="","",Abstract!$C$39)</f>
        <v>§4.2</v>
      </c>
      <c r="F75" s="46" t="str">
        <f>IF(ISNUMBER(A75),A75+6/1000,"")</f>
        <v/>
      </c>
    </row>
    <row r="76">
      <c r="A76" s="36" t="str">
        <f>IF('Rent schedule'!$B$11="","",'Rent schedule'!$B$11)</f>
        <v/>
      </c>
      <c r="B76" s="43" t="str">
        <f>"Rent change, lease year "&amp;'Rent schedule'!$A$11</f>
        <v>Rent change, lease year 6</v>
      </c>
      <c r="C76" s="25" t="str">
        <f>IF('Rent schedule'!$E$11="","",'Rent schedule'!$E$11)</f>
        <v/>
      </c>
      <c r="D76" s="36" t="str">
        <f>IF('Rent schedule'!$L$11="","",'Rent schedule'!$L$11)</f>
        <v/>
      </c>
      <c r="E76" s="43" t="str">
        <f>IF(Abstract!$C$39="","",Abstract!$C$39)</f>
        <v>§4.2</v>
      </c>
      <c r="F76" s="46" t="str">
        <f>IF(ISNUMBER(A76),A76+7/1000,"")</f>
        <v/>
      </c>
    </row>
    <row r="77">
      <c r="A77" s="36" t="str">
        <f>IF('Rent schedule'!$B$12="","",'Rent schedule'!$B$12)</f>
        <v/>
      </c>
      <c r="B77" s="43" t="str">
        <f>"Rent change, lease year "&amp;'Rent schedule'!$A$12</f>
        <v>Rent change, lease year 7</v>
      </c>
      <c r="C77" s="25" t="str">
        <f>IF('Rent schedule'!$E$12="","",'Rent schedule'!$E$12)</f>
        <v/>
      </c>
      <c r="D77" s="36" t="str">
        <f>IF('Rent schedule'!$L$12="","",'Rent schedule'!$L$12)</f>
        <v/>
      </c>
      <c r="E77" s="43" t="str">
        <f>IF(Abstract!$C$39="","",Abstract!$C$39)</f>
        <v>§4.2</v>
      </c>
      <c r="F77" s="46" t="str">
        <f>IF(ISNUMBER(A77),A77+8/1000,"")</f>
        <v/>
      </c>
    </row>
    <row r="78">
      <c r="A78" s="36" t="str">
        <f>IF('Rent schedule'!$B$13="","",'Rent schedule'!$B$13)</f>
        <v/>
      </c>
      <c r="B78" s="43" t="str">
        <f>"Rent change, lease year "&amp;'Rent schedule'!$A$13</f>
        <v>Rent change, lease year 8</v>
      </c>
      <c r="C78" s="25" t="str">
        <f>IF('Rent schedule'!$E$13="","",'Rent schedule'!$E$13)</f>
        <v/>
      </c>
      <c r="D78" s="36" t="str">
        <f>IF('Rent schedule'!$L$13="","",'Rent schedule'!$L$13)</f>
        <v/>
      </c>
      <c r="E78" s="43" t="str">
        <f>IF(Abstract!$C$39="","",Abstract!$C$39)</f>
        <v>§4.2</v>
      </c>
      <c r="F78" s="46" t="str">
        <f>IF(ISNUMBER(A78),A78+9/1000,"")</f>
        <v/>
      </c>
    </row>
    <row r="79">
      <c r="A79" s="36" t="str">
        <f>IF('Rent schedule'!$B$14="","",'Rent schedule'!$B$14)</f>
        <v/>
      </c>
      <c r="B79" s="43" t="str">
        <f>"Rent change, lease year "&amp;'Rent schedule'!$A$14</f>
        <v>Rent change, lease year 9</v>
      </c>
      <c r="C79" s="25" t="str">
        <f>IF('Rent schedule'!$E$14="","",'Rent schedule'!$E$14)</f>
        <v/>
      </c>
      <c r="D79" s="36" t="str">
        <f>IF('Rent schedule'!$L$14="","",'Rent schedule'!$L$14)</f>
        <v/>
      </c>
      <c r="E79" s="43" t="str">
        <f>IF(Abstract!$C$39="","",Abstract!$C$39)</f>
        <v>§4.2</v>
      </c>
      <c r="F79" s="46" t="str">
        <f>IF(ISNUMBER(A79),A79+10/1000,"")</f>
        <v/>
      </c>
    </row>
    <row r="80">
      <c r="A80" s="36" t="str">
        <f>IF('Rent schedule'!$B$15="","",'Rent schedule'!$B$15)</f>
        <v/>
      </c>
      <c r="B80" s="43" t="str">
        <f>"Rent change, lease year "&amp;'Rent schedule'!$A$15</f>
        <v>Rent change, lease year 10</v>
      </c>
      <c r="C80" s="25" t="str">
        <f>IF('Rent schedule'!$E$15="","",'Rent schedule'!$E$15)</f>
        <v/>
      </c>
      <c r="D80" s="36" t="str">
        <f>IF('Rent schedule'!$L$15="","",'Rent schedule'!$L$15)</f>
        <v/>
      </c>
      <c r="E80" s="43" t="str">
        <f>IF(Abstract!$C$39="","",Abstract!$C$39)</f>
        <v>§4.2</v>
      </c>
      <c r="F80" s="46" t="str">
        <f>IF(ISNUMBER(A80),A80+11/1000,"")</f>
        <v/>
      </c>
    </row>
    <row r="81">
      <c r="A81" s="36" t="str">
        <f>IF('Rent schedule'!$B$16="","",'Rent schedule'!$B$16)</f>
        <v/>
      </c>
      <c r="B81" s="43" t="str">
        <f>"Rent change, lease year "&amp;'Rent schedule'!$A$16</f>
        <v>Rent change, lease year 11</v>
      </c>
      <c r="C81" s="25" t="str">
        <f>IF('Rent schedule'!$E$16="","",'Rent schedule'!$E$16)</f>
        <v/>
      </c>
      <c r="D81" s="36" t="str">
        <f>IF('Rent schedule'!$L$16="","",'Rent schedule'!$L$16)</f>
        <v/>
      </c>
      <c r="E81" s="43" t="str">
        <f>IF(Abstract!$C$39="","",Abstract!$C$39)</f>
        <v>§4.2</v>
      </c>
      <c r="F81" s="46" t="str">
        <f>IF(ISNUMBER(A81),A81+12/1000,"")</f>
        <v/>
      </c>
    </row>
    <row r="82">
      <c r="A82" s="36" t="str">
        <f>IF('Rent schedule'!$B$17="","",'Rent schedule'!$B$17)</f>
        <v/>
      </c>
      <c r="B82" s="43" t="str">
        <f>"Rent change, lease year "&amp;'Rent schedule'!$A$17</f>
        <v>Rent change, lease year 12</v>
      </c>
      <c r="C82" s="25" t="str">
        <f>IF('Rent schedule'!$E$17="","",'Rent schedule'!$E$17)</f>
        <v/>
      </c>
      <c r="D82" s="36" t="str">
        <f>IF('Rent schedule'!$L$17="","",'Rent schedule'!$L$17)</f>
        <v/>
      </c>
      <c r="E82" s="43" t="str">
        <f>IF(Abstract!$C$39="","",Abstract!$C$39)</f>
        <v>§4.2</v>
      </c>
      <c r="F82" s="46" t="str">
        <f>IF(ISNUMBER(A82),A82+13/1000,"")</f>
        <v/>
      </c>
    </row>
    <row r="83">
      <c r="A83" s="36" t="str">
        <f>IF('Rent schedule'!$B$18="","",'Rent schedule'!$B$18)</f>
        <v/>
      </c>
      <c r="B83" s="43" t="str">
        <f>"Rent change, lease year "&amp;'Rent schedule'!$A$18</f>
        <v>Rent change, lease year 13</v>
      </c>
      <c r="C83" s="25" t="str">
        <f>IF('Rent schedule'!$E$18="","",'Rent schedule'!$E$18)</f>
        <v/>
      </c>
      <c r="D83" s="36" t="str">
        <f>IF('Rent schedule'!$L$18="","",'Rent schedule'!$L$18)</f>
        <v/>
      </c>
      <c r="E83" s="43" t="str">
        <f>IF(Abstract!$C$39="","",Abstract!$C$39)</f>
        <v>§4.2</v>
      </c>
      <c r="F83" s="46" t="str">
        <f>IF(ISNUMBER(A83),A83+14/1000,"")</f>
        <v/>
      </c>
    </row>
    <row r="84">
      <c r="A84" s="36" t="str">
        <f>IF('Rent schedule'!$B$19="","",'Rent schedule'!$B$19)</f>
        <v/>
      </c>
      <c r="B84" s="43" t="str">
        <f>"Rent change, lease year "&amp;'Rent schedule'!$A$19</f>
        <v>Rent change, lease year 14</v>
      </c>
      <c r="C84" s="25" t="str">
        <f>IF('Rent schedule'!$E$19="","",'Rent schedule'!$E$19)</f>
        <v/>
      </c>
      <c r="D84" s="36" t="str">
        <f>IF('Rent schedule'!$L$19="","",'Rent schedule'!$L$19)</f>
        <v/>
      </c>
      <c r="E84" s="43" t="str">
        <f>IF(Abstract!$C$39="","",Abstract!$C$39)</f>
        <v>§4.2</v>
      </c>
      <c r="F84" s="46" t="str">
        <f>IF(ISNUMBER(A84),A84+15/1000,"")</f>
        <v/>
      </c>
    </row>
    <row r="85">
      <c r="A85" s="36" t="str">
        <f>IF('Rent schedule'!$B$20="","",'Rent schedule'!$B$20)</f>
        <v/>
      </c>
      <c r="B85" s="43" t="str">
        <f>"Rent change, lease year "&amp;'Rent schedule'!$A$20</f>
        <v>Rent change, lease year 15</v>
      </c>
      <c r="C85" s="25" t="str">
        <f>IF('Rent schedule'!$E$20="","",'Rent schedule'!$E$20)</f>
        <v/>
      </c>
      <c r="D85" s="36" t="str">
        <f>IF('Rent schedule'!$L$20="","",'Rent schedule'!$L$20)</f>
        <v/>
      </c>
      <c r="E85" s="43" t="str">
        <f>IF(Abstract!$C$39="","",Abstract!$C$39)</f>
        <v>§4.2</v>
      </c>
      <c r="F85" s="46" t="str">
        <f>IF(ISNUMBER(A85),A85+16/1000,"")</f>
        <v/>
      </c>
    </row>
    <row r="86">
      <c r="A86" s="36" t="str">
        <f>IF('Rent schedule'!$B$21="","",'Rent schedule'!$B$21)</f>
        <v/>
      </c>
      <c r="B86" s="43" t="str">
        <f>"Rent change, lease year "&amp;'Rent schedule'!$A$21</f>
        <v>Rent change, lease year 16</v>
      </c>
      <c r="C86" s="25" t="str">
        <f>IF('Rent schedule'!$E$21="","",'Rent schedule'!$E$21)</f>
        <v/>
      </c>
      <c r="D86" s="36" t="str">
        <f>IF('Rent schedule'!$L$21="","",'Rent schedule'!$L$21)</f>
        <v/>
      </c>
      <c r="E86" s="43" t="str">
        <f>IF(Abstract!$C$39="","",Abstract!$C$39)</f>
        <v>§4.2</v>
      </c>
      <c r="F86" s="46" t="str">
        <f>IF(ISNUMBER(A86),A86+17/1000,"")</f>
        <v/>
      </c>
    </row>
    <row r="87">
      <c r="A87" s="36" t="str">
        <f>IF('Rent schedule'!$B$22="","",'Rent schedule'!$B$22)</f>
        <v/>
      </c>
      <c r="B87" s="43" t="str">
        <f>"Rent change, lease year "&amp;'Rent schedule'!$A$22</f>
        <v>Rent change, lease year 17</v>
      </c>
      <c r="C87" s="25" t="str">
        <f>IF('Rent schedule'!$E$22="","",'Rent schedule'!$E$22)</f>
        <v/>
      </c>
      <c r="D87" s="36" t="str">
        <f>IF('Rent schedule'!$L$22="","",'Rent schedule'!$L$22)</f>
        <v/>
      </c>
      <c r="E87" s="43" t="str">
        <f>IF(Abstract!$C$39="","",Abstract!$C$39)</f>
        <v>§4.2</v>
      </c>
      <c r="F87" s="46" t="str">
        <f>IF(ISNUMBER(A87),A87+18/1000,"")</f>
        <v/>
      </c>
    </row>
    <row r="88">
      <c r="A88" s="36" t="str">
        <f>IF('Rent schedule'!$B$23="","",'Rent schedule'!$B$23)</f>
        <v/>
      </c>
      <c r="B88" s="43" t="str">
        <f>"Rent change, lease year "&amp;'Rent schedule'!$A$23</f>
        <v>Rent change, lease year 18</v>
      </c>
      <c r="C88" s="25" t="str">
        <f>IF('Rent schedule'!$E$23="","",'Rent schedule'!$E$23)</f>
        <v/>
      </c>
      <c r="D88" s="36" t="str">
        <f>IF('Rent schedule'!$L$23="","",'Rent schedule'!$L$23)</f>
        <v/>
      </c>
      <c r="E88" s="43" t="str">
        <f>IF(Abstract!$C$39="","",Abstract!$C$39)</f>
        <v>§4.2</v>
      </c>
      <c r="F88" s="46" t="str">
        <f>IF(ISNUMBER(A88),A88+19/1000,"")</f>
        <v/>
      </c>
    </row>
    <row r="89">
      <c r="A89" s="36" t="str">
        <f>IF('Rent schedule'!$B$24="","",'Rent schedule'!$B$24)</f>
        <v/>
      </c>
      <c r="B89" s="43" t="str">
        <f>"Rent change, lease year "&amp;'Rent schedule'!$A$24</f>
        <v>Rent change, lease year 19</v>
      </c>
      <c r="C89" s="25" t="str">
        <f>IF('Rent schedule'!$E$24="","",'Rent schedule'!$E$24)</f>
        <v/>
      </c>
      <c r="D89" s="36" t="str">
        <f>IF('Rent schedule'!$L$24="","",'Rent schedule'!$L$24)</f>
        <v/>
      </c>
      <c r="E89" s="43" t="str">
        <f>IF(Abstract!$C$39="","",Abstract!$C$39)</f>
        <v>§4.2</v>
      </c>
      <c r="F89" s="46" t="str">
        <f>IF(ISNUMBER(A89),A89+20/1000,"")</f>
        <v/>
      </c>
    </row>
    <row r="90">
      <c r="A90" s="36" t="str">
        <f>IF('Rent schedule'!$B$25="","",'Rent schedule'!$B$25)</f>
        <v/>
      </c>
      <c r="B90" s="43" t="str">
        <f>"Rent change, lease year "&amp;'Rent schedule'!$A$25</f>
        <v>Rent change, lease year 20</v>
      </c>
      <c r="C90" s="25" t="str">
        <f>IF('Rent schedule'!$E$25="","",'Rent schedule'!$E$25)</f>
        <v/>
      </c>
      <c r="D90" s="36" t="str">
        <f>IF('Rent schedule'!$L$25="","",'Rent schedule'!$L$25)</f>
        <v/>
      </c>
      <c r="E90" s="43" t="str">
        <f>IF(Abstract!$C$39="","",Abstract!$C$39)</f>
        <v>§4.2</v>
      </c>
      <c r="F90" s="46" t="str">
        <f>IF(ISNUMBER(A90),A90+21/1000,"")</f>
        <v/>
      </c>
    </row>
    <row r="91">
      <c r="A91" s="36">
        <f>IF(Options!$J$6="","",Options!$J$6)</f>
        <v>46848</v>
      </c>
      <c r="B91" s="43" t="str">
        <f>Options!$A$6&amp;" option: notice deadline"</f>
        <v>Renewal option: notice deadline</v>
      </c>
      <c r="C91" s="25" t="n"/>
      <c r="D91" s="36">
        <f>IF(Options!$L$6="","",Options!$L$6)</f>
        <v>46758</v>
      </c>
      <c r="E91" s="43" t="str">
        <f>IF(Options!$I$6="","",Options!$I$6)</f>
        <v>§20</v>
      </c>
      <c r="F91" s="46">
        <f>IF(ISNUMBER(A91),A91+22/1000,"")</f>
        <v>46848.022</v>
      </c>
    </row>
    <row r="92">
      <c r="A92" s="36" t="str">
        <f>IF(Options!$J$7="","",Options!$J$7)</f>
        <v/>
      </c>
      <c r="B92" s="43" t="str">
        <f>Options!$A$7&amp;" option: notice deadline"</f>
        <v> option: notice deadline</v>
      </c>
      <c r="C92" s="25" t="n"/>
      <c r="D92" s="36" t="str">
        <f>IF(Options!$L$7="","",Options!$L$7)</f>
        <v/>
      </c>
      <c r="E92" s="43" t="str">
        <f>IF(Options!$I$7="","",Options!$I$7)</f>
        <v/>
      </c>
      <c r="F92" s="46" t="str">
        <f>IF(ISNUMBER(A92),A92+23/1000,"")</f>
        <v/>
      </c>
    </row>
    <row r="93">
      <c r="A93" s="36" t="str">
        <f>IF(Options!$J$8="","",Options!$J$8)</f>
        <v/>
      </c>
      <c r="B93" s="43" t="str">
        <f>Options!$A$8&amp;" option: notice deadline"</f>
        <v> option: notice deadline</v>
      </c>
      <c r="C93" s="25" t="n"/>
      <c r="D93" s="36" t="str">
        <f>IF(Options!$L$8="","",Options!$L$8)</f>
        <v/>
      </c>
      <c r="E93" s="43" t="str">
        <f>IF(Options!$I$8="","",Options!$I$8)</f>
        <v/>
      </c>
      <c r="F93" s="46" t="str">
        <f>IF(ISNUMBER(A93),A93+24/1000,"")</f>
        <v/>
      </c>
    </row>
    <row r="94">
      <c r="A94" s="36" t="str">
        <f>IF(Options!$K$6="","",Options!$K$6)</f>
        <v/>
      </c>
      <c r="B94" s="43" t="str">
        <f>Options!$A$6&amp;" option: earliest notice"</f>
        <v>Renewal option: earliest notice</v>
      </c>
      <c r="C94" s="25" t="n"/>
      <c r="D94" s="36" t="n"/>
      <c r="E94" s="43" t="str">
        <f>IF(Options!$I$6="","",Options!$I$6)</f>
        <v>§20</v>
      </c>
      <c r="F94" s="46" t="str">
        <f>IF(ISNUMBER(A94),A94+25/1000,"")</f>
        <v/>
      </c>
    </row>
    <row r="95">
      <c r="A95" s="36" t="str">
        <f>IF(Options!$K$7="","",Options!$K$7)</f>
        <v/>
      </c>
      <c r="B95" s="43" t="str">
        <f>Options!$A$7&amp;" option: earliest notice"</f>
        <v> option: earliest notice</v>
      </c>
      <c r="C95" s="25" t="n"/>
      <c r="D95" s="36" t="n"/>
      <c r="E95" s="43" t="str">
        <f>IF(Options!$I$7="","",Options!$I$7)</f>
        <v/>
      </c>
      <c r="F95" s="46" t="str">
        <f>IF(ISNUMBER(A95),A95+26/1000,"")</f>
        <v/>
      </c>
    </row>
    <row r="96">
      <c r="A96" s="36" t="str">
        <f>IF(Options!$K$8="","",Options!$K$8)</f>
        <v/>
      </c>
      <c r="B96" s="43" t="str">
        <f>Options!$A$8&amp;" option: earliest notice"</f>
        <v> option: earliest notice</v>
      </c>
      <c r="C96" s="25" t="n"/>
      <c r="D96" s="36" t="n"/>
      <c r="E96" s="43" t="str">
        <f>IF(Options!$I$8="","",Options!$I$8)</f>
        <v/>
      </c>
      <c r="F96" s="46" t="str">
        <f>IF(ISNUMBER(A96),A96+27/1000,"")</f>
        <v/>
      </c>
    </row>
    <row r="97">
      <c r="A97" s="36">
        <f>IF(ISNUMBER(Abstract!$B$29),Abstract!$B$29,"")</f>
        <v>47118</v>
      </c>
      <c r="B97" s="43" t="str">
        <f>"Expiration"</f>
        <v>Expiration</v>
      </c>
      <c r="C97" s="25" t="n"/>
      <c r="D97" s="36">
        <f>IF(AND(ISNUMBER(Abstract!$B$29),ISNUMBER(Abstract!$B$99)),Abstract!$B$29-Abstract!$B$99,"")</f>
        <v>46938</v>
      </c>
      <c r="E97" s="43" t="str">
        <f>IF(Abstract!$C$29="","",Abstract!$C$29)</f>
        <v>§3.2</v>
      </c>
      <c r="F97" s="46">
        <f>IF(ISNUMBER(A97),A97+28/1000,"")</f>
        <v>47118.028</v>
      </c>
    </row>
    <row r="98">
      <c r="A98" s="36">
        <f>IF(AND(ISNUMBER(Abstract!$B$29),ISNUMBER(Abstract!$B$31)),Abstract!$B$29+1,"")</f>
        <v>47119</v>
      </c>
      <c r="B98" s="43" t="str">
        <f>"Holdover rent, if the tenant stays without a renewal"</f>
        <v>Holdover rent, if the tenant stays without a renewal</v>
      </c>
      <c r="C98" s="25">
        <f>IF(Abstract!$B$32="","",Abstract!$B$32)</f>
        <v>9834.54</v>
      </c>
      <c r="D98" s="36" t="n"/>
      <c r="E98" s="43" t="str">
        <f>IF(Abstract!$C$31="","",Abstract!$C$31)</f>
        <v>§21</v>
      </c>
      <c r="F98" s="46">
        <f>IF(ISNUMBER(A98),A98+29/1000,"")</f>
        <v>47119.029</v>
      </c>
    </row>
    <row r="99">
      <c r="A99" s="36">
        <f>IF(AND(ISNUMBER(Abstract!$B$27),ISNUMBER(Abstract!$B$29),ISNUMBER(Abstract!$B$58)),IF((YEAR(Abstract!$B$27)+0)&lt;=YEAR(Abstract!$B$29),DATE((YEAR(Abstract!$B$27)+0),12,31)+Abstract!$B$58,""),"")</f>
        <v>46142</v>
      </c>
      <c r="B99" s="43" t="str">
        <f>IF(A99="","","Reconciliation statement due, "&amp;(YEAR(Abstract!$B$27)+0))</f>
        <v>Reconciliation statement due, 2025</v>
      </c>
      <c r="C99" s="25" t="n"/>
      <c r="D99" s="36" t="n"/>
      <c r="E99" s="43" t="str">
        <f>IF(Abstract!$C$58="","",Abstract!$C$58)</f>
        <v>§5.5</v>
      </c>
      <c r="F99" s="46">
        <f>IF(ISNUMBER(A99),A99+30/1000,"")</f>
        <v>46142.03</v>
      </c>
    </row>
    <row r="100">
      <c r="A100" s="36">
        <f>IF(AND(ISNUMBER(Abstract!$B$27),ISNUMBER(Abstract!$B$29),ISNUMBER(Abstract!$B$58)),IF((YEAR(Abstract!$B$27)+1)&lt;=YEAR(Abstract!$B$29),DATE((YEAR(Abstract!$B$27)+1),12,31)+Abstract!$B$58,""),"")</f>
        <v>46507</v>
      </c>
      <c r="B100" s="43" t="str">
        <f>IF(A100="","","Reconciliation statement due, "&amp;(YEAR(Abstract!$B$27)+1))</f>
        <v>Reconciliation statement due, 2026</v>
      </c>
      <c r="C100" s="25" t="n"/>
      <c r="D100" s="36" t="n"/>
      <c r="E100" s="43" t="str">
        <f>IF(Abstract!$C$58="","",Abstract!$C$58)</f>
        <v>§5.5</v>
      </c>
      <c r="F100" s="46">
        <f>IF(ISNUMBER(A100),A100+31/1000,"")</f>
        <v>46507.031</v>
      </c>
    </row>
    <row r="101">
      <c r="A101" s="36">
        <f>IF(AND(ISNUMBER(Abstract!$B$27),ISNUMBER(Abstract!$B$29),ISNUMBER(Abstract!$B$58)),IF((YEAR(Abstract!$B$27)+2)&lt;=YEAR(Abstract!$B$29),DATE((YEAR(Abstract!$B$27)+2),12,31)+Abstract!$B$58,""),"")</f>
        <v>46872</v>
      </c>
      <c r="B101" s="43" t="str">
        <f>IF(A101="","","Reconciliation statement due, "&amp;(YEAR(Abstract!$B$27)+2))</f>
        <v>Reconciliation statement due, 2027</v>
      </c>
      <c r="C101" s="25" t="n"/>
      <c r="D101" s="36" t="n"/>
      <c r="E101" s="43" t="str">
        <f>IF(Abstract!$C$58="","",Abstract!$C$58)</f>
        <v>§5.5</v>
      </c>
      <c r="F101" s="46">
        <f>IF(ISNUMBER(A101),A101+32/1000,"")</f>
        <v>46872.032</v>
      </c>
    </row>
    <row r="102">
      <c r="A102" s="36">
        <f>IF(AND(ISNUMBER(Abstract!$B$27),ISNUMBER(Abstract!$B$29),ISNUMBER(Abstract!$B$58)),IF((YEAR(Abstract!$B$27)+3)&lt;=YEAR(Abstract!$B$29),DATE((YEAR(Abstract!$B$27)+3),12,31)+Abstract!$B$58,""),"")</f>
        <v>47238</v>
      </c>
      <c r="B102" s="43" t="str">
        <f>IF(A102="","","Reconciliation statement due, "&amp;(YEAR(Abstract!$B$27)+3))</f>
        <v>Reconciliation statement due, 2028</v>
      </c>
      <c r="C102" s="25" t="n"/>
      <c r="D102" s="36" t="n"/>
      <c r="E102" s="43" t="str">
        <f>IF(Abstract!$C$58="","",Abstract!$C$58)</f>
        <v>§5.5</v>
      </c>
      <c r="F102" s="46">
        <f>IF(ISNUMBER(A102),A102+33/1000,"")</f>
        <v>47238.033</v>
      </c>
    </row>
    <row r="103">
      <c r="A103" s="36" t="str">
        <f>IF(AND(ISNUMBER(Abstract!$B$27),ISNUMBER(Abstract!$B$29),ISNUMBER(Abstract!$B$58)),IF((YEAR(Abstract!$B$27)+4)&lt;=YEAR(Abstract!$B$29),DATE((YEAR(Abstract!$B$27)+4),12,31)+Abstract!$B$58,""),"")</f>
        <v/>
      </c>
      <c r="B103" s="43" t="str">
        <f>IF(A103="","","Reconciliation statement due, "&amp;(YEAR(Abstract!$B$27)+4))</f>
        <v/>
      </c>
      <c r="C103" s="25" t="n"/>
      <c r="D103" s="36" t="n"/>
      <c r="E103" s="43" t="str">
        <f>IF(Abstract!$C$58="","",Abstract!$C$58)</f>
        <v>§5.5</v>
      </c>
      <c r="F103" s="46" t="str">
        <f>IF(ISNUMBER(A103),A103+34/1000,"")</f>
        <v/>
      </c>
    </row>
    <row r="104">
      <c r="A104" s="36" t="str">
        <f>IF(AND(ISNUMBER(Abstract!$B$27),ISNUMBER(Abstract!$B$29),ISNUMBER(Abstract!$B$58)),IF((YEAR(Abstract!$B$27)+5)&lt;=YEAR(Abstract!$B$29),DATE((YEAR(Abstract!$B$27)+5),12,31)+Abstract!$B$58,""),"")</f>
        <v/>
      </c>
      <c r="B104" s="43" t="str">
        <f>IF(A104="","","Reconciliation statement due, "&amp;(YEAR(Abstract!$B$27)+5))</f>
        <v/>
      </c>
      <c r="C104" s="25" t="n"/>
      <c r="D104" s="36" t="n"/>
      <c r="E104" s="43" t="str">
        <f>IF(Abstract!$C$58="","",Abstract!$C$58)</f>
        <v>§5.5</v>
      </c>
      <c r="F104" s="46" t="str">
        <f>IF(ISNUMBER(A104),A104+35/1000,"")</f>
        <v/>
      </c>
    </row>
    <row r="105">
      <c r="A105" s="36" t="str">
        <f>IF(AND(ISNUMBER(Abstract!$B$27),ISNUMBER(Abstract!$B$29),ISNUMBER(Abstract!$B$58)),IF((YEAR(Abstract!$B$27)+6)&lt;=YEAR(Abstract!$B$29),DATE((YEAR(Abstract!$B$27)+6),12,31)+Abstract!$B$58,""),"")</f>
        <v/>
      </c>
      <c r="B105" s="43" t="str">
        <f>IF(A105="","","Reconciliation statement due, "&amp;(YEAR(Abstract!$B$27)+6))</f>
        <v/>
      </c>
      <c r="C105" s="25" t="n"/>
      <c r="D105" s="36" t="n"/>
      <c r="E105" s="43" t="str">
        <f>IF(Abstract!$C$58="","",Abstract!$C$58)</f>
        <v>§5.5</v>
      </c>
      <c r="F105" s="46" t="str">
        <f>IF(ISNUMBER(A105),A105+36/1000,"")</f>
        <v/>
      </c>
    </row>
    <row r="106">
      <c r="A106" s="36" t="str">
        <f>IF(AND(ISNUMBER(Abstract!$B$27),ISNUMBER(Abstract!$B$29),ISNUMBER(Abstract!$B$58)),IF((YEAR(Abstract!$B$27)+7)&lt;=YEAR(Abstract!$B$29),DATE((YEAR(Abstract!$B$27)+7),12,31)+Abstract!$B$58,""),"")</f>
        <v/>
      </c>
      <c r="B106" s="43" t="str">
        <f>IF(A106="","","Reconciliation statement due, "&amp;(YEAR(Abstract!$B$27)+7))</f>
        <v/>
      </c>
      <c r="C106" s="25" t="n"/>
      <c r="D106" s="36" t="n"/>
      <c r="E106" s="43" t="str">
        <f>IF(Abstract!$C$58="","",Abstract!$C$58)</f>
        <v>§5.5</v>
      </c>
      <c r="F106" s="46" t="str">
        <f>IF(ISNUMBER(A106),A106+37/1000,"")</f>
        <v/>
      </c>
    </row>
    <row r="107">
      <c r="A107" s="36" t="str">
        <f>IF(AND(ISNUMBER(Abstract!$B$27),ISNUMBER(Abstract!$B$29),ISNUMBER(Abstract!$B$58)),IF((YEAR(Abstract!$B$27)+8)&lt;=YEAR(Abstract!$B$29),DATE((YEAR(Abstract!$B$27)+8),12,31)+Abstract!$B$58,""),"")</f>
        <v/>
      </c>
      <c r="B107" s="43" t="str">
        <f>IF(A107="","","Reconciliation statement due, "&amp;(YEAR(Abstract!$B$27)+8))</f>
        <v/>
      </c>
      <c r="C107" s="25" t="n"/>
      <c r="D107" s="36" t="n"/>
      <c r="E107" s="43" t="str">
        <f>IF(Abstract!$C$58="","",Abstract!$C$58)</f>
        <v>§5.5</v>
      </c>
      <c r="F107" s="46" t="str">
        <f>IF(ISNUMBER(A107),A107+38/1000,"")</f>
        <v/>
      </c>
    </row>
    <row r="108">
      <c r="A108" s="36" t="str">
        <f>IF(AND(ISNUMBER(Abstract!$B$27),ISNUMBER(Abstract!$B$29),ISNUMBER(Abstract!$B$58)),IF((YEAR(Abstract!$B$27)+9)&lt;=YEAR(Abstract!$B$29),DATE((YEAR(Abstract!$B$27)+9),12,31)+Abstract!$B$58,""),"")</f>
        <v/>
      </c>
      <c r="B108" s="43" t="str">
        <f>IF(A108="","","Reconciliation statement due, "&amp;(YEAR(Abstract!$B$27)+9))</f>
        <v/>
      </c>
      <c r="C108" s="25" t="n"/>
      <c r="D108" s="36" t="n"/>
      <c r="E108" s="43" t="str">
        <f>IF(Abstract!$C$58="","",Abstract!$C$58)</f>
        <v>§5.5</v>
      </c>
      <c r="F108" s="46" t="str">
        <f>IF(ISNUMBER(A108),A108+39/1000,"")</f>
        <v/>
      </c>
    </row>
    <row r="109">
      <c r="A109" s="36" t="str">
        <f>IF(AND(ISNUMBER(Abstract!$B$27),ISNUMBER(Abstract!$B$29),ISNUMBER(Abstract!$B$58)),IF((YEAR(Abstract!$B$27)+10)&lt;=YEAR(Abstract!$B$29),DATE((YEAR(Abstract!$B$27)+10),12,31)+Abstract!$B$58,""),"")</f>
        <v/>
      </c>
      <c r="B109" s="43" t="str">
        <f>IF(A109="","","Reconciliation statement due, "&amp;(YEAR(Abstract!$B$27)+10))</f>
        <v/>
      </c>
      <c r="C109" s="25" t="n"/>
      <c r="D109" s="36" t="n"/>
      <c r="E109" s="43" t="str">
        <f>IF(Abstract!$C$58="","",Abstract!$C$58)</f>
        <v>§5.5</v>
      </c>
      <c r="F109" s="46" t="str">
        <f>IF(ISNUMBER(A109),A109+40/1000,"")</f>
        <v/>
      </c>
    </row>
    <row r="110">
      <c r="A110" s="36" t="str">
        <f>IF(AND(ISNUMBER(Abstract!$B$27),ISNUMBER(Abstract!$B$29),ISNUMBER(Abstract!$B$58)),IF((YEAR(Abstract!$B$27)+11)&lt;=YEAR(Abstract!$B$29),DATE((YEAR(Abstract!$B$27)+11),12,31)+Abstract!$B$58,""),"")</f>
        <v/>
      </c>
      <c r="B110" s="43" t="str">
        <f>IF(A110="","","Reconciliation statement due, "&amp;(YEAR(Abstract!$B$27)+11))</f>
        <v/>
      </c>
      <c r="C110" s="25" t="n"/>
      <c r="D110" s="36" t="n"/>
      <c r="E110" s="43" t="str">
        <f>IF(Abstract!$C$58="","",Abstract!$C$58)</f>
        <v>§5.5</v>
      </c>
      <c r="F110" s="46" t="str">
        <f>IF(ISNUMBER(A110),A110+41/1000,"")</f>
        <v/>
      </c>
    </row>
    <row r="111">
      <c r="A111" s="36" t="str">
        <f>IF(AND(ISNUMBER(Abstract!$B$27),ISNUMBER(Abstract!$B$29),ISNUMBER(Abstract!$B$58)),IF((YEAR(Abstract!$B$27)+12)&lt;=YEAR(Abstract!$B$29),DATE((YEAR(Abstract!$B$27)+12),12,31)+Abstract!$B$58,""),"")</f>
        <v/>
      </c>
      <c r="B111" s="43" t="str">
        <f>IF(A111="","","Reconciliation statement due, "&amp;(YEAR(Abstract!$B$27)+12))</f>
        <v/>
      </c>
      <c r="C111" s="25" t="n"/>
      <c r="D111" s="36" t="n"/>
      <c r="E111" s="43" t="str">
        <f>IF(Abstract!$C$58="","",Abstract!$C$58)</f>
        <v>§5.5</v>
      </c>
      <c r="F111" s="46" t="str">
        <f>IF(ISNUMBER(A111),A111+42/1000,"")</f>
        <v/>
      </c>
    </row>
    <row r="112">
      <c r="A112" s="36" t="str">
        <f>IF(AND(ISNUMBER(Abstract!$B$27),ISNUMBER(Abstract!$B$29),ISNUMBER(Abstract!$B$58)),IF((YEAR(Abstract!$B$27)+13)&lt;=YEAR(Abstract!$B$29),DATE((YEAR(Abstract!$B$27)+13),12,31)+Abstract!$B$58,""),"")</f>
        <v/>
      </c>
      <c r="B112" s="43" t="str">
        <f>IF(A112="","","Reconciliation statement due, "&amp;(YEAR(Abstract!$B$27)+13))</f>
        <v/>
      </c>
      <c r="C112" s="25" t="n"/>
      <c r="D112" s="36" t="n"/>
      <c r="E112" s="43" t="str">
        <f>IF(Abstract!$C$58="","",Abstract!$C$58)</f>
        <v>§5.5</v>
      </c>
      <c r="F112" s="46" t="str">
        <f>IF(ISNUMBER(A112),A112+43/1000,"")</f>
        <v/>
      </c>
    </row>
    <row r="113">
      <c r="A113" s="36" t="str">
        <f>IF(AND(ISNUMBER(Abstract!$B$27),ISNUMBER(Abstract!$B$29),ISNUMBER(Abstract!$B$58)),IF((YEAR(Abstract!$B$27)+14)&lt;=YEAR(Abstract!$B$29),DATE((YEAR(Abstract!$B$27)+14),12,31)+Abstract!$B$58,""),"")</f>
        <v/>
      </c>
      <c r="B113" s="43" t="str">
        <f>IF(A113="","","Reconciliation statement due, "&amp;(YEAR(Abstract!$B$27)+14))</f>
        <v/>
      </c>
      <c r="C113" s="25" t="n"/>
      <c r="D113" s="36" t="n"/>
      <c r="E113" s="43" t="str">
        <f>IF(Abstract!$C$58="","",Abstract!$C$58)</f>
        <v>§5.5</v>
      </c>
      <c r="F113" s="46" t="str">
        <f>IF(ISNUMBER(A113),A113+44/1000,"")</f>
        <v/>
      </c>
    </row>
    <row r="114">
      <c r="A114" s="36" t="str">
        <f>IF(AND(ISNUMBER(Abstract!$B$27),ISNUMBER(Abstract!$B$29),ISNUMBER(Abstract!$B$58)),IF((YEAR(Abstract!$B$27)+15)&lt;=YEAR(Abstract!$B$29),DATE((YEAR(Abstract!$B$27)+15),12,31)+Abstract!$B$58,""),"")</f>
        <v/>
      </c>
      <c r="B114" s="43" t="str">
        <f>IF(A114="","","Reconciliation statement due, "&amp;(YEAR(Abstract!$B$27)+15))</f>
        <v/>
      </c>
      <c r="C114" s="25" t="n"/>
      <c r="D114" s="36" t="n"/>
      <c r="E114" s="43" t="str">
        <f>IF(Abstract!$C$58="","",Abstract!$C$58)</f>
        <v>§5.5</v>
      </c>
      <c r="F114" s="46" t="str">
        <f>IF(ISNUMBER(A114),A114+45/1000,"")</f>
        <v/>
      </c>
    </row>
    <row r="115">
      <c r="A115" s="36" t="str">
        <f>IF(AND(ISNUMBER(Abstract!$B$27),ISNUMBER(Abstract!$B$29),ISNUMBER(Abstract!$B$58)),IF((YEAR(Abstract!$B$27)+16)&lt;=YEAR(Abstract!$B$29),DATE((YEAR(Abstract!$B$27)+16),12,31)+Abstract!$B$58,""),"")</f>
        <v/>
      </c>
      <c r="B115" s="43" t="str">
        <f>IF(A115="","","Reconciliation statement due, "&amp;(YEAR(Abstract!$B$27)+16))</f>
        <v/>
      </c>
      <c r="C115" s="25" t="n"/>
      <c r="D115" s="36" t="n"/>
      <c r="E115" s="43" t="str">
        <f>IF(Abstract!$C$58="","",Abstract!$C$58)</f>
        <v>§5.5</v>
      </c>
      <c r="F115" s="46" t="str">
        <f>IF(ISNUMBER(A115),A115+46/1000,"")</f>
        <v/>
      </c>
    </row>
    <row r="116">
      <c r="A116" s="36" t="str">
        <f>IF(AND(ISNUMBER(Abstract!$B$27),ISNUMBER(Abstract!$B$29),ISNUMBER(Abstract!$B$58)),IF((YEAR(Abstract!$B$27)+17)&lt;=YEAR(Abstract!$B$29),DATE((YEAR(Abstract!$B$27)+17),12,31)+Abstract!$B$58,""),"")</f>
        <v/>
      </c>
      <c r="B116" s="43" t="str">
        <f>IF(A116="","","Reconciliation statement due, "&amp;(YEAR(Abstract!$B$27)+17))</f>
        <v/>
      </c>
      <c r="C116" s="25" t="n"/>
      <c r="D116" s="36" t="n"/>
      <c r="E116" s="43" t="str">
        <f>IF(Abstract!$C$58="","",Abstract!$C$58)</f>
        <v>§5.5</v>
      </c>
      <c r="F116" s="46" t="str">
        <f>IF(ISNUMBER(A116),A116+47/1000,"")</f>
        <v/>
      </c>
    </row>
    <row r="117">
      <c r="A117" s="36" t="str">
        <f>IF(AND(ISNUMBER(Abstract!$B$27),ISNUMBER(Abstract!$B$29),ISNUMBER(Abstract!$B$58)),IF((YEAR(Abstract!$B$27)+18)&lt;=YEAR(Abstract!$B$29),DATE((YEAR(Abstract!$B$27)+18),12,31)+Abstract!$B$58,""),"")</f>
        <v/>
      </c>
      <c r="B117" s="43" t="str">
        <f>IF(A117="","","Reconciliation statement due, "&amp;(YEAR(Abstract!$B$27)+18))</f>
        <v/>
      </c>
      <c r="C117" s="25" t="n"/>
      <c r="D117" s="36" t="n"/>
      <c r="E117" s="43" t="str">
        <f>IF(Abstract!$C$58="","",Abstract!$C$58)</f>
        <v>§5.5</v>
      </c>
      <c r="F117" s="46" t="str">
        <f>IF(ISNUMBER(A117),A117+48/1000,"")</f>
        <v/>
      </c>
    </row>
    <row r="118">
      <c r="A118" s="36" t="str">
        <f>IF(AND(ISNUMBER(Abstract!$B$27),ISNUMBER(Abstract!$B$29),ISNUMBER(Abstract!$B$58)),IF((YEAR(Abstract!$B$27)+19)&lt;=YEAR(Abstract!$B$29),DATE((YEAR(Abstract!$B$27)+19),12,31)+Abstract!$B$58,""),"")</f>
        <v/>
      </c>
      <c r="B118" s="43" t="str">
        <f>IF(A118="","","Reconciliation statement due, "&amp;(YEAR(Abstract!$B$27)+19))</f>
        <v/>
      </c>
      <c r="C118" s="25" t="n"/>
      <c r="D118" s="36" t="n"/>
      <c r="E118" s="43" t="str">
        <f>IF(Abstract!$C$58="","",Abstract!$C$58)</f>
        <v>§5.5</v>
      </c>
      <c r="F118" s="46" t="str">
        <f>IF(ISNUMBER(A118),A118+49/1000,"")</f>
        <v/>
      </c>
    </row>
    <row r="119">
      <c r="A119" s="36" t="str">
        <f>IF(AND(ISNUMBER(Abstract!$B$27),ISNUMBER(Abstract!$B$29),ISNUMBER(Abstract!$B$58)),IF((YEAR(Abstract!$B$27)+20)&lt;=YEAR(Abstract!$B$29),DATE((YEAR(Abstract!$B$27)+20),12,31)+Abstract!$B$58,""),"")</f>
        <v/>
      </c>
      <c r="B119" s="43" t="str">
        <f>IF(A119="","","Reconciliation statement due, "&amp;(YEAR(Abstract!$B$27)+20))</f>
        <v/>
      </c>
      <c r="C119" s="25" t="n"/>
      <c r="D119" s="36" t="n"/>
      <c r="E119" s="43" t="str">
        <f>IF(Abstract!$C$58="","",Abstract!$C$58)</f>
        <v>§5.5</v>
      </c>
      <c r="F119" s="46" t="str">
        <f>IF(ISNUMBER(A119),A119+50/1000,"")</f>
        <v/>
      </c>
    </row>
    <row r="120">
      <c r="A120" s="36">
        <f>IF(ISNUMBER(Abstract!$B$73),Abstract!$B$73,"")</f>
        <v>46568</v>
      </c>
      <c r="B120" s="43" t="str">
        <f>"Certificate of insurance on file expires"</f>
        <v>Certificate of insurance on file expires</v>
      </c>
      <c r="C120" s="25" t="n"/>
      <c r="D120" s="36">
        <f>IF(AND(ISNUMBER(Abstract!$B$73),ISNUMBER(Abstract!$B$100)),Abstract!$B$73-Abstract!$B$100,"")</f>
        <v>46538</v>
      </c>
      <c r="E120" s="43" t="str">
        <f>IF(Abstract!$C$73="","",Abstract!$C$73)</f>
        <v>Certificate on file</v>
      </c>
      <c r="F120" s="46">
        <f>IF(ISNUMBER(A120),A120+51/1000,"")</f>
        <v>46568.051</v>
      </c>
    </row>
    <row r="121">
      <c r="A121" s="36" t="str">
        <f>IF(ISNUMBER(Abstract!$B$63),Abstract!$B$63,"")</f>
        <v/>
      </c>
      <c r="B121" s="43" t="str">
        <f>"Letter of credit expires"</f>
        <v>Letter of credit expires</v>
      </c>
      <c r="C121" s="25" t="n"/>
      <c r="D121" s="36" t="str">
        <f>IF(AND(ISNUMBER(Abstract!$B$63),ISNUMBER(Abstract!$B$100)),Abstract!$B$63-Abstract!$B$100,"")</f>
        <v/>
      </c>
      <c r="E121" s="43" t="str">
        <f>IF(Abstract!$C$63="","",Abstract!$C$63)</f>
        <v>—</v>
      </c>
      <c r="F121" s="46" t="str">
        <f>IF(ISNUMBER(A121),A121+52/1000,"")</f>
        <v/>
      </c>
    </row>
  </sheetData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ChargeRecoveries</dc:creator>
  <dc:title>Commercial lease abstract worksheet</dc:title>
  <dc:description>Version 2026-10. chargerecoveries.com/lease-abstract-template</dc:description>
  <dc:subject>A commercial lease abstract with its rent schedule, notice deadlines, critical dates calendar and ten checks</dc:subject>
  <dcterms:created xsi:type="dcterms:W3CDTF">2026-10-30T02:59:22Z</dcterms:created>
  <dcterms:modified xsi:type="dcterms:W3CDTF">2026-10-30T02:59:23Z</dcterms:modified>
  <cp:lastModifiedBy>ChargeRecoveries</cp:lastModifiedBy>
</cp:coreProperties>
</file>