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nt roll" sheetId="2" state="visible" r:id="rId2"/>
    <sheet name="Units" sheetId="3" state="visible" r:id="rId3"/>
    <sheet name="Leases" sheetId="4" state="visible" r:id="rId4"/>
    <sheet name="Expirations" sheetId="5" state="visible" r:id="rId5"/>
  </sheets>
  <definedNames>
    <definedName name="_xlnm.Print_Titles" localSheetId="1">'Rent roll'!$9:$9</definedName>
    <definedName name="_xlnm.Print_Area" localSheetId="1">'Rent roll'!$A$1:$U$127</definedName>
    <definedName name="_xlnm.Print_Titles" localSheetId="2">'Units'!$4:$4</definedName>
    <definedName name="_xlnm.Print_Area" localSheetId="2">'Units'!$A$1:$N$60</definedName>
    <definedName name="_xlnm.Print_Titles" localSheetId="3">'Leases'!$4:$4</definedName>
    <definedName name="_xlnm.Print_Area" localSheetId="4">'Expirations'!$A$1:$H$38</definedName>
  </definedNames>
  <calcPr calcId="124519" fullCalcOnLoad="1"/>
</workbook>
</file>

<file path=xl/styles.xml><?xml version="1.0" encoding="utf-8"?>
<styleSheet xmlns="http://schemas.openxmlformats.org/spreadsheetml/2006/main">
  <numFmts count="4">
    <numFmt numFmtId="164" formatCode="yyyy-mm-dd"/>
    <numFmt numFmtId="165" formatCode="$#,##0.00;($#,##0.00);-"/>
    <numFmt numFmtId="166" formatCode="0.000000"/>
    <numFmt numFmtId="167" formatCode="0.0%"/>
  </numFmts>
  <fonts count="11">
    <font>
      <name val="Calibri"/>
      <family val="2"/>
      <color theme="1"/>
      <sz val="11"/>
      <scheme val="minor"/>
    </font>
    <font>
      <name val="Arial"/>
      <b val="1"/>
      <sz val="14"/>
    </font>
    <font>
      <name val="Arial"/>
      <i val="1"/>
      <color rgb="005B6779"/>
      <sz val="9"/>
    </font>
    <font>
      <name val="Arial"/>
      <sz val="10"/>
    </font>
    <font>
      <name val="Arial"/>
      <b val="1"/>
      <sz val="10"/>
    </font>
    <font>
      <name val="Arial"/>
      <i val="1"/>
      <color rgb="005B6779"/>
      <sz val="9"/>
      <u val="single"/>
    </font>
    <font>
      <name val="Arial"/>
      <color rgb="000000FF"/>
      <sz val="10"/>
    </font>
    <font>
      <name val="Arial"/>
      <b val="1"/>
      <color rgb="00FFFFFF"/>
      <sz val="10"/>
    </font>
    <font>
      <name val="Arial"/>
      <color rgb="00000000"/>
      <sz val="10"/>
    </font>
    <font>
      <name val="Arial"/>
      <color rgb="00008000"/>
      <sz val="10"/>
    </font>
    <font>
      <name val="Arial"/>
      <b val="1"/>
      <sz val="12"/>
    </font>
  </fonts>
  <fills count="6">
    <fill>
      <patternFill/>
    </fill>
    <fill>
      <patternFill patternType="gray125"/>
    </fill>
    <fill>
      <patternFill patternType="solid">
        <fgColor rgb="00FFFF00"/>
      </patternFill>
    </fill>
    <fill>
      <patternFill patternType="solid">
        <fgColor rgb="00E0E7FF"/>
      </patternFill>
    </fill>
    <fill>
      <patternFill patternType="solid">
        <fgColor rgb="001F3C88"/>
      </patternFill>
    </fill>
    <fill>
      <patternFill patternType="solid">
        <fgColor rgb="00DCFCE7"/>
      </patternFill>
    </fill>
  </fills>
  <borders count="2">
    <border>
      <left/>
      <right/>
      <top/>
      <bottom/>
      <diagonal/>
    </border>
    <border>
      <left style="thin">
        <color rgb="00C9D1E0"/>
      </left>
      <right style="thin">
        <color rgb="00C9D1E0"/>
      </right>
      <top style="thin">
        <color rgb="00C9D1E0"/>
      </top>
      <bottom style="thin">
        <color rgb="00C9D1E0"/>
      </bottom>
    </border>
  </borders>
  <cellStyleXfs count="1">
    <xf numFmtId="0" fontId="0" fillId="0" borderId="0"/>
  </cellStyleXfs>
  <cellXfs count="42">
    <xf numFmtId="0" fontId="0" fillId="0" borderId="0" pivotButton="0" quotePrefix="0" xfId="0"/>
    <xf numFmtId="0" fontId="1" fillId="0" borderId="0" applyAlignment="1" pivotButton="0" quotePrefix="0" xfId="0">
      <alignment vertical="top" wrapText="1"/>
    </xf>
    <xf numFmtId="0" fontId="5"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4" fillId="0" borderId="0" pivotButton="0" quotePrefix="0" xfId="0"/>
    <xf numFmtId="0" fontId="6" fillId="2" borderId="1" pivotButton="0" quotePrefix="0" xfId="0"/>
    <xf numFmtId="0" fontId="2" fillId="0" borderId="0" pivotButton="0" quotePrefix="0" xfId="0"/>
    <xf numFmtId="14" fontId="6" fillId="2" borderId="1" pivotButton="0" quotePrefix="0" xfId="0"/>
    <xf numFmtId="3" fontId="6" fillId="2" borderId="1" pivotButton="0" quotePrefix="0" xfId="0"/>
    <xf numFmtId="0" fontId="2" fillId="0" borderId="0" applyAlignment="1" pivotButton="0" quotePrefix="0" xfId="0">
      <alignment wrapText="1"/>
    </xf>
    <xf numFmtId="0" fontId="10" fillId="5" borderId="0" pivotButton="0" quotePrefix="0" xfId="0"/>
    <xf numFmtId="1" fontId="9" fillId="0" borderId="1" pivotButton="0" quotePrefix="0" xfId="0"/>
    <xf numFmtId="0" fontId="7" fillId="4" borderId="1" applyAlignment="1" pivotButton="0" quotePrefix="0" xfId="0">
      <alignment vertical="center" wrapText="1"/>
    </xf>
    <xf numFmtId="0" fontId="8" fillId="0" borderId="1" pivotButton="0" quotePrefix="0" xfId="0"/>
    <xf numFmtId="0" fontId="9" fillId="0" borderId="1" pivotButton="0" quotePrefix="0" xfId="0"/>
    <xf numFmtId="3" fontId="9" fillId="0" borderId="1" pivotButton="0" quotePrefix="0" xfId="0"/>
    <xf numFmtId="14" fontId="9" fillId="0" borderId="1" pivotButton="0" quotePrefix="0" xfId="0"/>
    <xf numFmtId="165" fontId="9" fillId="0" borderId="1" pivotButton="0" quotePrefix="0" xfId="0"/>
    <xf numFmtId="167" fontId="9" fillId="0" borderId="1" pivotButton="0" quotePrefix="0" xfId="0"/>
    <xf numFmtId="0" fontId="4" fillId="0" borderId="0" applyAlignment="1" pivotButton="0" quotePrefix="0" xfId="0">
      <alignment horizontal="right"/>
    </xf>
    <xf numFmtId="0" fontId="3" fillId="0" borderId="0" applyAlignment="1" pivotButton="0" quotePrefix="0" xfId="0">
      <alignment horizontal="right"/>
    </xf>
    <xf numFmtId="1" fontId="8" fillId="0" borderId="1" pivotButton="0" quotePrefix="0" xfId="0"/>
    <xf numFmtId="3" fontId="8" fillId="0" borderId="1" pivotButton="0" quotePrefix="0" xfId="0"/>
    <xf numFmtId="167" fontId="8" fillId="0" borderId="1" pivotButton="0" quotePrefix="0" xfId="0"/>
    <xf numFmtId="165" fontId="8" fillId="0" borderId="1" pivotButton="0" quotePrefix="0" xfId="0"/>
    <xf numFmtId="0" fontId="2" fillId="0" borderId="0" applyAlignment="1" pivotButton="0" quotePrefix="0" xfId="0">
      <alignment vertical="top" wrapText="1"/>
    </xf>
    <xf numFmtId="0" fontId="4" fillId="0" borderId="1" applyAlignment="1" pivotButton="0" quotePrefix="0" xfId="0">
      <alignment horizontal="center"/>
    </xf>
    <xf numFmtId="1" fontId="4" fillId="0" borderId="1" applyAlignment="1" pivotButton="0" quotePrefix="0" xfId="0">
      <alignment horizontal="center"/>
    </xf>
    <xf numFmtId="0" fontId="4" fillId="3" borderId="0" pivotButton="0" quotePrefix="0" xfId="0"/>
    <xf numFmtId="14" fontId="8" fillId="0" borderId="1" pivotButton="0" quotePrefix="0" xfId="0"/>
    <xf numFmtId="1" fontId="4" fillId="0" borderId="1" pivotButton="0" quotePrefix="0" xfId="0"/>
    <xf numFmtId="3" fontId="4" fillId="0" borderId="1" pivotButton="0" quotePrefix="0" xfId="0"/>
    <xf numFmtId="165" fontId="6" fillId="2" borderId="1" pivotButton="0" quotePrefix="0" xfId="0"/>
    <xf numFmtId="9" fontId="6" fillId="2" borderId="1" pivotButton="0" quotePrefix="0" xfId="0"/>
    <xf numFmtId="166" fontId="8" fillId="0" borderId="1" pivotButton="0" quotePrefix="0" xfId="0"/>
    <xf numFmtId="1" fontId="4" fillId="0" borderId="1" applyAlignment="1" pivotButton="0" quotePrefix="0" xfId="0">
      <alignment horizontal="left"/>
    </xf>
    <xf numFmtId="167" fontId="4" fillId="0" borderId="1" pivotButton="0" quotePrefix="0" xfId="0"/>
    <xf numFmtId="165" fontId="4" fillId="0" borderId="1" pivotButton="0" quotePrefix="0" xfId="0"/>
    <xf numFmtId="0" fontId="3" fillId="0" borderId="0" pivotButton="0" quotePrefix="0" xfId="0"/>
    <xf numFmtId="2" fontId="4" fillId="0" borderId="1" pivotButton="0" quotePrefix="0" xfId="0"/>
  </cellXfs>
  <cellStyles count="1">
    <cellStyle name="Normal" xfId="0" builtinId="0" hidden="0"/>
  </cellStyles>
  <dxfs count="1">
    <dxf>
      <fill>
        <patternFill patternType="solid">
          <fgColor rgb="00FFE4E6"/>
          <bgColor rgb="00FFE4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argerecoveries.com/rent-roll-template" TargetMode="External" Id="rId1" /></Relationships>
</file>

<file path=xl/worksheets/sheet1.xml><?xml version="1.0" encoding="utf-8"?>
<worksheet xmlns="http://schemas.openxmlformats.org/spreadsheetml/2006/main">
  <sheetPr>
    <outlinePr summaryBelow="1" summaryRight="1"/>
    <pageSetUpPr/>
  </sheetPr>
  <dimension ref="B2:B45"/>
  <sheetViews>
    <sheetView showGridLines="0" workbookViewId="0">
      <selection activeCell="A1" sqref="A1"/>
    </sheetView>
  </sheetViews>
  <sheetFormatPr baseColWidth="8" defaultRowHeight="15"/>
  <cols>
    <col width="3" customWidth="1" min="1" max="1"/>
    <col width="110" customWidth="1" min="2" max="2"/>
  </cols>
  <sheetData>
    <row r="2">
      <c r="B2" s="1" t="inlineStr">
        <is>
          <t>Commercial rent roll template</t>
        </is>
      </c>
    </row>
    <row r="3">
      <c r="B3" s="2" t="inlineStr">
        <is>
          <t>A free workbook from ChargeRecoveries (chargerecoveries.com). Version 2026-10.</t>
        </is>
      </c>
    </row>
    <row r="4">
      <c r="B4" s="3" t="inlineStr"/>
    </row>
    <row r="5">
      <c r="B5" s="4" t="inlineStr">
        <is>
          <t>What it does</t>
        </is>
      </c>
    </row>
    <row r="6">
      <c r="B6" s="3" t="inlineStr">
        <is>
          <t>Builds a commercial rent roll as of one date: one line per lease in force and one per vacant unit, with the area, the monthly rent before any abatement, rent per square foot per year, the CAM or recovery estimate, the next rent change, the deposit held and the tenant's balance.</t>
        </is>
      </c>
    </row>
    <row r="7">
      <c r="B7" s="3" t="inlineStr">
        <is>
          <t>Under the lines: occupancy by area and by units; free rent and rents not yet started, totaled beside the contract rent as "not charged on the date"; deposits; balances due and credits apart. The Expirations sheet gives the lease expiry schedule by year, WALT by rent and by area, and the five largest leases' share of the rent.</t>
        </is>
      </c>
    </row>
    <row r="8">
      <c r="B8" s="3" t="inlineStr">
        <is>
          <t>Then it runs eleven checks. Cell B7 on the Rent roll sheet says whether they all pass.</t>
        </is>
      </c>
    </row>
    <row r="9">
      <c r="B9" s="3" t="inlineStr"/>
    </row>
    <row r="10">
      <c r="B10" s="4" t="inlineStr">
        <is>
          <t>How to use it</t>
        </is>
      </c>
    </row>
    <row r="11">
      <c r="B11" s="3" t="inlineStr">
        <is>
          <t>1. Rent roll sheet: the building's name, the as-of date in B4 (type a date, or =TODAY()), and, if you want it checked, the building's rentable area in B5.</t>
        </is>
      </c>
    </row>
    <row r="12">
      <c r="B12" s="3" t="inlineStr">
        <is>
          <t>2. Units sheet: one row per unit, its area as the lease defines it, and the Lease ID of the lease that covers it (blank if none). Fifty rows.</t>
        </is>
      </c>
    </row>
    <row r="13">
      <c r="B13" s="3" t="inlineStr">
        <is>
          <t>3. Leases sheet: one row per lease, thirty rows. Dates, the monthly rent before any abatement, one next rent change, the abatement, the CAM estimate, deposits, and the tenant's balance from your books.</t>
        </is>
      </c>
    </row>
    <row r="14">
      <c r="B14" s="3" t="inlineStr">
        <is>
          <t>4. Read B7 first, then the roll. Change B4 and the lines, the rent step and the totals follow. Delete the example rows on Units and Leases (the yellow cells only) before you enter your own, and change or clear the building area in B5.</t>
        </is>
      </c>
    </row>
    <row r="15">
      <c r="B15" s="3" t="inlineStr">
        <is>
          <t>The roll lists the leases in force in the order of the Leases sheet, then the vacant units in the order of the Units sheet. To change the roll's order, sort the Leases sheet's rows on columns A to R only (for example by their first unit); the computed columns follow each row.</t>
        </is>
      </c>
    </row>
    <row r="16">
      <c r="B16" s="3" t="inlineStr">
        <is>
          <t>One lease per unit at a time: a unit names one Lease ID. When a successor lease is signed on an occupied unit, keep the current lease on the unit until it ends, then change the ID. A unit whose lease has not started shows as vacant, with that lease's start date. Lease IDs are letters or numbers.</t>
        </is>
      </c>
    </row>
    <row r="17">
      <c r="B17" s="3" t="inlineStr"/>
    </row>
    <row r="18">
      <c r="B18" s="4" t="inlineStr">
        <is>
          <t>Colors</t>
        </is>
      </c>
    </row>
    <row r="19">
      <c r="B19" s="3" t="inlineStr">
        <is>
          <t>Blue text on a yellow cell: something for you to enter. Black text: a formula; leave it. Green text: a value pulled from another sheet.</t>
        </is>
      </c>
    </row>
    <row r="20">
      <c r="B20" s="3" t="inlineStr"/>
    </row>
    <row r="21">
      <c r="B21" s="4" t="inlineStr">
        <is>
          <t>The rules it follows</t>
        </is>
      </c>
    </row>
    <row r="22">
      <c r="B22" s="3" t="inlineStr">
        <is>
          <t>A lease is in force from its start date through its end date, both included: a lease ending June 30 is on the roll on June 30, and off it on July 1.</t>
        </is>
      </c>
    </row>
    <row r="23">
      <c r="B23" s="3" t="inlineStr">
        <is>
          <t>A unit names its lease, so a lease on two units adds their areas, and no unit is counted twice. A unit no lease in force covers is vacant.</t>
        </is>
      </c>
    </row>
    <row r="24">
      <c r="B24" s="3" t="inlineStr">
        <is>
          <t>The monthly rent is the contract rent before any abatement. Free rent is shown beside it and totaled apart as not charged on the date; it is never taken out of the rent total.</t>
        </is>
      </c>
    </row>
    <row r="25">
      <c r="B25" s="3" t="inlineStr">
        <is>
          <t>A lease whose rent has not started counts as occupied, and its rent is shown and totaled as not charged on the date.</t>
        </is>
      </c>
    </row>
    <row r="26">
      <c r="B26" s="3" t="inlineStr">
        <is>
          <t>A rent awaiting its index has no figure. The lease counts in occupancy, stays out of the rent totals, and the totals name it.</t>
        </is>
      </c>
    </row>
    <row r="27">
      <c r="B27" s="3" t="inlineStr">
        <is>
          <t>Rent per square foot per year = monthly rent × 12 ÷ area, rounded once to the cent. The average is the annual rent of the lines with a known rent divided by their area, not an average of the rates.</t>
        </is>
      </c>
    </row>
    <row r="28">
      <c r="B28" s="3" t="inlineStr">
        <is>
          <t>Balances due and tenant credits are totaled apart, never netted. Only leases in force on the date carry a balance on the roll. A letter of credit that expired before the date is not held.</t>
        </is>
      </c>
    </row>
    <row r="29">
      <c r="B29" s="3" t="inlineStr">
        <is>
          <t>Dates and amounts must be typed as numbers, not text: a value the sheet reads as text fails a check (an area on Units, a date or an amount on Leases) rather than being read wrongly.</t>
        </is>
      </c>
    </row>
    <row r="30">
      <c r="B30" s="3" t="inlineStr"/>
    </row>
    <row r="31">
      <c r="B31" s="4" t="inlineStr">
        <is>
          <t>The example</t>
        </is>
      </c>
    </row>
    <row r="32">
      <c r="B32" s="3" t="inlineStr">
        <is>
          <t>Maple Commons, a worked case and not a customer's building: units 101 (1,200 sq ft), 102 (800), 103 (2,000) and 104 (1,000), as of August 15, 2026. Lease A takes 101 and 102 at $5,000.00 a month, stepping to $5,150.00 on October 1, 2026; lease B takes 103 at $4,250.00, 100% abated through December 31, 2026; 104 is vacant.</t>
        </is>
      </c>
    </row>
    <row r="33">
      <c r="B33" s="3" t="inlineStr">
        <is>
          <t>The roll reads $9,250.00 a month and $27.75 per square foot per year on 4,000 sq ft; occupancy 80.0% by area and 75.0% by units; $4,250.00 not charged on the date; a WALT of 1.69 years by rent and 1.63 by area. Every figure is worked out at chargerecoveries.com/blog/commercial-rent-roll. The lease start dates, abatement start, CAM estimates and the assignment of the balances are example values chosen for the workbook.</t>
        </is>
      </c>
    </row>
    <row r="34">
      <c r="B34" s="3" t="inlineStr"/>
    </row>
    <row r="35">
      <c r="B35" s="4" t="inlineStr">
        <is>
          <t>What it does not do</t>
        </is>
      </c>
    </row>
    <row r="36">
      <c r="B36" s="3" t="inlineStr">
        <is>
          <t>Follow a rent schedule: one current rent and one next change per lease; more steps, percentage or CPI escalations are updated by hand.</t>
        </is>
      </c>
    </row>
    <row r="37">
      <c r="B37" s="3" t="inlineStr">
        <is>
          <t>Look up an index: a rent awaiting its CPI is flagged, never computed.</t>
        </is>
      </c>
    </row>
    <row r="38">
      <c r="B38" s="3" t="inlineStr">
        <is>
          <t>Keep the tenant's account: balances are typed from your books.</t>
        </is>
      </c>
    </row>
    <row r="39">
      <c r="B39" s="3" t="inlineStr">
        <is>
          <t>Remember the building from one date to the next, or roll several buildings into one report.</t>
        </is>
      </c>
    </row>
    <row r="40">
      <c r="B40" s="3" t="inlineStr">
        <is>
          <t>Watch option notice dates and tenant insurance certificates.</t>
        </is>
      </c>
    </row>
    <row r="41">
      <c r="B41" s="3" t="inlineStr">
        <is>
          <t>Produce the T-12 and NOI a lender asks for beside the roll.</t>
        </is>
      </c>
    </row>
    <row r="42">
      <c r="B42" s="3" t="inlineStr">
        <is>
          <t>ChargeRecoveries keeps the leases, computes the rent on any date from the schedule, and produces the rent roll and the lender pack on the Pro plan. Demo, no sign-up: chargerecoveries.com/demo.</t>
        </is>
      </c>
    </row>
    <row r="43">
      <c r="B43" s="3" t="inlineStr"/>
    </row>
    <row r="44">
      <c r="B44" s="4" t="inlineStr">
        <is>
          <t>Residential buildings</t>
        </is>
      </c>
    </row>
    <row r="45">
      <c r="B45" s="3" t="inlineStr">
        <is>
          <t>It works for any building whose units have an area, but its columns are commercial: square feet, rent per square foot per year, CAM estimates, letters of credit. It has no bedroom or market-rent columns. ChargeRecoveries itself is for commercial property only.</t>
        </is>
      </c>
    </row>
  </sheetData>
  <hyperlinks>
    <hyperlink xmlns:r="http://schemas.openxmlformats.org/officeDocument/2006/relationships" ref="B3"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Y127"/>
  <sheetViews>
    <sheetView showGridLines="1" workbookViewId="0">
      <pane xSplit="2" ySplit="9" topLeftCell="C10" activePane="bottomRight" state="frozen"/>
      <selection pane="topRight"/>
      <selection pane="bottomLeft"/>
      <selection pane="bottomRight" activeCell="A1" sqref="A1"/>
    </sheetView>
  </sheetViews>
  <sheetFormatPr baseColWidth="8" defaultRowHeight="15"/>
  <cols>
    <col width="11" customWidth="1" min="1" max="1"/>
    <col width="14" customWidth="1" min="2" max="2"/>
    <col width="14" customWidth="1" min="3" max="3"/>
    <col width="20" customWidth="1" min="4" max="4"/>
    <col width="10" customWidth="1" min="5" max="5"/>
    <col width="11" customWidth="1" min="6" max="6"/>
    <col width="11" customWidth="1" min="7" max="7"/>
    <col width="12" customWidth="1" min="8" max="8"/>
    <col width="13" customWidth="1" min="9" max="9"/>
    <col width="10" customWidth="1" min="10" max="10"/>
    <col width="13" customWidth="1" min="11" max="11"/>
    <col width="12" customWidth="1" min="12" max="12"/>
    <col width="11" customWidth="1" min="13" max="13"/>
    <col width="12" customWidth="1" min="14" max="14"/>
    <col width="10" customWidth="1" min="15" max="15"/>
    <col width="11" customWidth="1" min="16" max="16"/>
    <col width="13" customWidth="1" min="17" max="17"/>
    <col width="12" customWidth="1" min="18" max="18"/>
    <col width="12" customWidth="1" min="19" max="19"/>
    <col width="28" customWidth="1" min="20" max="20"/>
    <col width="18" customWidth="1" min="21" max="21"/>
    <col width="3" customWidth="1" min="22" max="22"/>
    <col width="11" customWidth="1" min="23" max="23"/>
    <col width="11" customWidth="1" min="24" max="24"/>
    <col width="11" customWidth="1" min="25" max="25"/>
  </cols>
  <sheetData>
    <row r="1">
      <c r="A1" s="5" t="str">
        <f>IF(B3="","Rent roll","Rent roll · "&amp;B3)</f>
        <v>Rent roll · Maple Commons</v>
      </c>
    </row>
    <row r="3">
      <c r="A3" s="6" t="inlineStr">
        <is>
          <t>Building</t>
        </is>
      </c>
      <c r="B3" s="7" t="inlineStr">
        <is>
          <t>Maple Commons</t>
        </is>
      </c>
      <c r="C3" s="8" t="inlineStr">
        <is>
          <t>Text. Printed at the top of the roll.</t>
        </is>
      </c>
    </row>
    <row r="4">
      <c r="A4" s="6" t="inlineStr">
        <is>
          <t>As of</t>
        </is>
      </c>
      <c r="B4" s="9" t="n">
        <v>46249</v>
      </c>
      <c r="C4" s="8" t="inlineStr">
        <is>
          <t>The date the roll is read on. It drives everything: type a date, or =TODAY().</t>
        </is>
      </c>
    </row>
    <row r="5">
      <c r="A5" s="6" t="inlineStr">
        <is>
          <t>Area sq ft</t>
        </is>
      </c>
      <c r="B5" s="10" t="n">
        <v>5000</v>
      </c>
      <c r="C5" s="8" t="inlineStr">
        <is>
          <t>Optional: the building's rentable area in square feet. Leave blank to skip the check. The roll's area is the sum of the units.</t>
        </is>
      </c>
    </row>
    <row r="6">
      <c r="W6" s="11" t="inlineStr">
        <is>
          <t>Leases in force</t>
        </is>
      </c>
      <c r="X6" s="11" t="inlineStr">
        <is>
          <t>Vacant units</t>
        </is>
      </c>
    </row>
    <row r="7">
      <c r="A7" s="6" t="inlineStr">
        <is>
          <t>THE CHECK</t>
        </is>
      </c>
      <c r="B7" s="12" t="str">
        <f>IF(E127=0,"✓ All 11 checks pass: each unit is leased once or vacant, and the roll ties to the leases.","✗ "&amp;E127&amp;" check(s) fail: see the list under the totals.")</f>
        <v>✓ All 11 checks pass: each unit is leased once or vacant, and the roll ties to the leases.</v>
      </c>
      <c r="W7" s="13">
        <f>SUM(Leases!$T$5:$T$34)</f>
        <v>2</v>
      </c>
      <c r="X7" s="13">
        <f>Units!$B$59</f>
        <v>1</v>
      </c>
    </row>
    <row r="9" ht="42" customHeight="1">
      <c r="A9" s="14" t="inlineStr">
        <is>
          <t>Line</t>
        </is>
      </c>
      <c r="B9" s="14" t="inlineStr">
        <is>
          <t>Lease</t>
        </is>
      </c>
      <c r="C9" s="14" t="inlineStr">
        <is>
          <t>Unit(s)</t>
        </is>
      </c>
      <c r="D9" s="14" t="inlineStr">
        <is>
          <t>Tenant</t>
        </is>
      </c>
      <c r="E9" s="14" t="inlineStr">
        <is>
          <t>Sq ft</t>
        </is>
      </c>
      <c r="F9" s="14" t="inlineStr">
        <is>
          <t>Lease start</t>
        </is>
      </c>
      <c r="G9" s="14" t="inlineStr">
        <is>
          <t>Lease end</t>
        </is>
      </c>
      <c r="H9" s="14" t="inlineStr">
        <is>
          <t>Rent commencement</t>
        </is>
      </c>
      <c r="I9" s="14" t="inlineStr">
        <is>
          <t>Monthly base rent</t>
        </is>
      </c>
      <c r="J9" s="14" t="inlineStr">
        <is>
          <t>$/sq ft/yr</t>
        </is>
      </c>
      <c r="K9" s="14" t="inlineStr">
        <is>
          <t>Annual rent</t>
        </is>
      </c>
      <c r="L9" s="14" t="inlineStr">
        <is>
          <t>CAM / recovery est. ($/mo)</t>
        </is>
      </c>
      <c r="M9" s="14" t="inlineStr">
        <is>
          <t>Next change on</t>
        </is>
      </c>
      <c r="N9" s="14" t="inlineStr">
        <is>
          <t>Next monthly rent</t>
        </is>
      </c>
      <c r="O9" s="14" t="inlineStr">
        <is>
          <t>Abatement %</t>
        </is>
      </c>
      <c r="P9" s="14" t="inlineStr">
        <is>
          <t>Abated through</t>
        </is>
      </c>
      <c r="Q9" s="14" t="inlineStr">
        <is>
          <t>Not charged on the date</t>
        </is>
      </c>
      <c r="R9" s="14" t="inlineStr">
        <is>
          <t>Deposit held</t>
        </is>
      </c>
      <c r="S9" s="14" t="inlineStr">
        <is>
          <t>Tenant balance</t>
        </is>
      </c>
      <c r="T9" s="14" t="inlineStr">
        <is>
          <t>Note</t>
        </is>
      </c>
      <c r="U9" s="14" t="inlineStr">
        <is>
          <t>Options / notes</t>
        </is>
      </c>
      <c r="W9" s="14" t="inlineStr">
        <is>
          <t>helper: source</t>
        </is>
      </c>
      <c r="X9" s="14" t="inlineStr">
        <is>
          <t>helper: row</t>
        </is>
      </c>
      <c r="Y9" s="14" t="inlineStr">
        <is>
          <t>helper: rent counted</t>
        </is>
      </c>
    </row>
    <row r="10">
      <c r="A10" s="15">
        <f>IF($W10="","",(ROW()-ROW($A$9)))</f>
        <v>1</v>
      </c>
      <c r="B10" s="16" t="str">
        <f>IF($W10="L",IF(INDEX(Leases!$A$5:$A$34,$X10)="","",INDEX(Leases!$A$5:$A$34,$X10)),IF($W10="V","Vacant",""))</f>
        <v>A</v>
      </c>
      <c r="C10" s="16" t="str">
        <f>IF($W10="L",IF(INDEX(Leases!$V$5:$V$34,$X10)="","",INDEX(Leases!$V$5:$V$34,$X10)),IF($W10="V",IF(INDEX(Units!$A$5:$A$54,$X10)="","",INDEX(Units!$A$5:$A$54,$X10)),""))</f>
        <v>101, 102</v>
      </c>
      <c r="D10" s="16" t="str">
        <f>IF($W10="L",IF(INDEX(Leases!$B$5:$B$34,$X10)="","",INDEX(Leases!$B$5:$B$34,$X10)),IF($W10="V","",""))</f>
        <v>Tenant A, LLC</v>
      </c>
      <c r="E10" s="17">
        <f>IF($W10="L",INDEX(Leases!$W$5:$W$34,$X10),IF($W10="V",IF(INDEX(Units!$B$5:$B$54,$X10)="","",INDEX(Units!$B$5:$B$54,$X10)),""))</f>
        <v>2000</v>
      </c>
      <c r="F10" s="18">
        <f>IF($W10="L",IF(INDEX(Leases!$C$5:$C$34,$X10)="","",INDEX(Leases!$C$5:$C$34,$X10)),IF($W10="V",IF(INDEX(Units!$H$5:$H$54,$X10)="","",INDEX(Units!$H$5:$H$54,$X10)),""))</f>
        <v>45658</v>
      </c>
      <c r="G10" s="18">
        <f>IF($W10="L",IF(INDEX(Leases!$D$5:$D$34,$X10)="","No end date",INDEX(Leases!$D$5:$D$34,$X10)),IF($W10="V","",""))</f>
        <v>47118</v>
      </c>
      <c r="H10" s="18" t="str">
        <f>IF($W10="L",IF(INDEX(Leases!$E$5:$E$34,$X10)="","",INDEX(Leases!$E$5:$E$34,$X10)),IF($W10="V","",""))</f>
        <v/>
      </c>
      <c r="I10" s="19">
        <f>IF($W10="L",IF(INDEX(Leases!$X$5:$X$34,$X10)="","",INDEX(Leases!$X$5:$X$34,$X10)),IF($W10="V","",""))</f>
        <v>5000</v>
      </c>
      <c r="J10" s="19">
        <f>IF($W10="L",IF(INDEX(Leases!$Z$5:$Z$34,$X10)="","",INDEX(Leases!$Z$5:$Z$34,$X10)),IF($W10="V","",""))</f>
        <v>30</v>
      </c>
      <c r="K10" s="19">
        <f>IF($W10="L",IF(INDEX(Leases!$Y$5:$Y$34,$X10)="","",INDEX(Leases!$Y$5:$Y$34,$X10)),IF($W10="V","",""))</f>
        <v>60000</v>
      </c>
      <c r="L10" s="19">
        <f>IF($W10="L",IF(INDEX(Leases!$M$5:$M$34,$X10)="","",INDEX(Leases!$M$5:$M$34,$X10)),IF($W10="V","",""))</f>
        <v>1200</v>
      </c>
      <c r="M10" s="18">
        <f>IF($W10="L",IF(INDEX(Leases!$AA$5:$AA$34,$X10)="","",INDEX(Leases!$AA$5:$AA$34,$X10)),IF($W10="V","",""))</f>
        <v>46296</v>
      </c>
      <c r="N10" s="19">
        <f>IF($W10="L",IF(INDEX(Leases!$AB$5:$AB$34,$X10)="","",INDEX(Leases!$AB$5:$AB$34,$X10)),IF($W10="V","",""))</f>
        <v>5150</v>
      </c>
      <c r="O10" s="20" t="str">
        <f>IF($W10="L",IF(INDEX(Leases!$AD$5:$AD$34,$X10)=1,INDEX(Leases!$J$5:$J$34,$X10),""),IF($W10="V","",""))</f>
        <v/>
      </c>
      <c r="P10" s="18" t="str">
        <f>IF($W10="L",IF(INDEX(Leases!$AD$5:$AD$34,$X10)=1,INDEX(Leases!$L$5:$L$34,$X10),""),IF($W10="V","",""))</f>
        <v/>
      </c>
      <c r="Q10" s="19">
        <f>IF($W10="L",INDEX(Leases!$AE$5:$AE$34,$X10),IF($W10="V","",""))</f>
        <v>0</v>
      </c>
      <c r="R10" s="19">
        <f>IF($W10="L",INDEX(Leases!$AF$5:$AF$34,$X10),IF($W10="V","",""))</f>
        <v>10000</v>
      </c>
      <c r="S10" s="19">
        <f>IF($W10="L",IF(INDEX(Leases!$AH$5:$AH$34,$X10)="","",INDEX(Leases!$AH$5:$AH$34,$X10)),IF($W10="V","",""))</f>
        <v>1250.5</v>
      </c>
      <c r="T10" s="16" t="str">
        <f>IF($W10="L",TRIM(IF(INDEX(Leases!$AJ$5:$AJ$34,$X10)=1,"Awaiting index: not in rent totals. ","")&amp;IF(INDEX(Leases!$AC$5:$AC$34,$X10)=1,"Rent not started. ","")&amp;IF(INDEX(Leases!$AD$5:$AD$34,$X10)=1,"Abated on the date. ","")&amp;IF(INDEX(Leases!$AG$5:$AG$34,$X10)=1,"Letter of credit expired. ","")),IF($W10="V",IF(INDEX(Units!$H$5:$H$54,$X10)&lt;&gt;"","Vacant. A signed lease starts on the Lease start date.","Vacant."),""))</f>
        <v>Letter of credit expired.</v>
      </c>
      <c r="U10" s="16" t="str">
        <f>IF($W10="L",IF(INDEX(Leases!$R$5:$R$34,$X10)="","",INDEX(Leases!$R$5:$R$34,$X10)),IF($W10="V",IF(INDEX(Units!$D$5:$D$54,$X10)="","",INDEX(Units!$D$5:$D$54,$X10)),""))</f>
        <v/>
      </c>
      <c r="W10" s="15" t="str">
        <f>IF((ROW()-ROW($A$9))&lt;=$W$7,"L",IF((ROW()-ROW($A$9))&lt;=$W$7+$X$7,"V",""))</f>
        <v>L</v>
      </c>
      <c r="X10" s="15">
        <f>IF(W10="L",MATCH((ROW()-ROW($A$9)),Leases!$AQ$5:$AQ$34,0),IF(W10="V",MATCH((ROW()-ROW($A$9))-$W$7,Units!$J$5:$J$54,0),""))</f>
        <v>1</v>
      </c>
      <c r="Y10" s="15">
        <f>IF(W10="L",INDEX(Leases!$AI$5:$AI$34,$X10),0)</f>
        <v>1</v>
      </c>
    </row>
    <row r="11">
      <c r="A11" s="15">
        <f>IF($W11="","",(ROW()-ROW($A$9)))</f>
        <v>2</v>
      </c>
      <c r="B11" s="16" t="str">
        <f>IF($W11="L",IF(INDEX(Leases!$A$5:$A$34,$X11)="","",INDEX(Leases!$A$5:$A$34,$X11)),IF($W11="V","Vacant",""))</f>
        <v>B</v>
      </c>
      <c r="C11" s="16" t="str">
        <f>IF($W11="L",IF(INDEX(Leases!$V$5:$V$34,$X11)="","",INDEX(Leases!$V$5:$V$34,$X11)),IF($W11="V",IF(INDEX(Units!$A$5:$A$54,$X11)="","",INDEX(Units!$A$5:$A$54,$X11)),""))</f>
        <v>103</v>
      </c>
      <c r="D11" s="16" t="str">
        <f>IF($W11="L",IF(INDEX(Leases!$B$5:$B$34,$X11)="","",INDEX(Leases!$B$5:$B$34,$X11)),IF($W11="V","",""))</f>
        <v>Tenant B, LLC</v>
      </c>
      <c r="E11" s="17">
        <f>IF($W11="L",INDEX(Leases!$W$5:$W$34,$X11),IF($W11="V",IF(INDEX(Units!$B$5:$B$54,$X11)="","",INDEX(Units!$B$5:$B$54,$X11)),""))</f>
        <v>2000</v>
      </c>
      <c r="F11" s="18">
        <f>IF($W11="L",IF(INDEX(Leases!$C$5:$C$34,$X11)="","",INDEX(Leases!$C$5:$C$34,$X11)),IF($W11="V",IF(INDEX(Units!$H$5:$H$54,$X11)="","",INDEX(Units!$H$5:$H$54,$X11)),""))</f>
        <v>45658</v>
      </c>
      <c r="G11" s="18">
        <f>IF($W11="L",IF(INDEX(Leases!$D$5:$D$34,$X11)="","No end date",INDEX(Leases!$D$5:$D$34,$X11)),IF($W11="V","",""))</f>
        <v>46568</v>
      </c>
      <c r="H11" s="18" t="str">
        <f>IF($W11="L",IF(INDEX(Leases!$E$5:$E$34,$X11)="","",INDEX(Leases!$E$5:$E$34,$X11)),IF($W11="V","",""))</f>
        <v/>
      </c>
      <c r="I11" s="19">
        <f>IF($W11="L",IF(INDEX(Leases!$X$5:$X$34,$X11)="","",INDEX(Leases!$X$5:$X$34,$X11)),IF($W11="V","",""))</f>
        <v>4250</v>
      </c>
      <c r="J11" s="19">
        <f>IF($W11="L",IF(INDEX(Leases!$Z$5:$Z$34,$X11)="","",INDEX(Leases!$Z$5:$Z$34,$X11)),IF($W11="V","",""))</f>
        <v>25.5</v>
      </c>
      <c r="K11" s="19">
        <f>IF($W11="L",IF(INDEX(Leases!$Y$5:$Y$34,$X11)="","",INDEX(Leases!$Y$5:$Y$34,$X11)),IF($W11="V","",""))</f>
        <v>51000</v>
      </c>
      <c r="L11" s="19">
        <f>IF($W11="L",IF(INDEX(Leases!$M$5:$M$34,$X11)="","",INDEX(Leases!$M$5:$M$34,$X11)),IF($W11="V","",""))</f>
        <v>900</v>
      </c>
      <c r="M11" s="18" t="str">
        <f>IF($W11="L",IF(INDEX(Leases!$AA$5:$AA$34,$X11)="","",INDEX(Leases!$AA$5:$AA$34,$X11)),IF($W11="V","",""))</f>
        <v/>
      </c>
      <c r="N11" s="19" t="str">
        <f>IF($W11="L",IF(INDEX(Leases!$AB$5:$AB$34,$X11)="","",INDEX(Leases!$AB$5:$AB$34,$X11)),IF($W11="V","",""))</f>
        <v/>
      </c>
      <c r="O11" s="20">
        <f>IF($W11="L",IF(INDEX(Leases!$AD$5:$AD$34,$X11)=1,INDEX(Leases!$J$5:$J$34,$X11),""),IF($W11="V","",""))</f>
        <v>1</v>
      </c>
      <c r="P11" s="18">
        <f>IF($W11="L",IF(INDEX(Leases!$AD$5:$AD$34,$X11)=1,INDEX(Leases!$L$5:$L$34,$X11),""),IF($W11="V","",""))</f>
        <v>46387</v>
      </c>
      <c r="Q11" s="19">
        <f>IF($W11="L",INDEX(Leases!$AE$5:$AE$34,$X11),IF($W11="V","",""))</f>
        <v>4250</v>
      </c>
      <c r="R11" s="19">
        <f>IF($W11="L",INDEX(Leases!$AF$5:$AF$34,$X11),IF($W11="V","",""))</f>
        <v>0</v>
      </c>
      <c r="S11" s="19">
        <f>IF($W11="L",IF(INDEX(Leases!$AH$5:$AH$34,$X11)="","",INDEX(Leases!$AH$5:$AH$34,$X11)),IF($W11="V","",""))</f>
        <v>-300</v>
      </c>
      <c r="T11" s="16" t="str">
        <f>IF($W11="L",TRIM(IF(INDEX(Leases!$AJ$5:$AJ$34,$X11)=1,"Awaiting index: not in rent totals. ","")&amp;IF(INDEX(Leases!$AC$5:$AC$34,$X11)=1,"Rent not started. ","")&amp;IF(INDEX(Leases!$AD$5:$AD$34,$X11)=1,"Abated on the date. ","")&amp;IF(INDEX(Leases!$AG$5:$AG$34,$X11)=1,"Letter of credit expired. ","")),IF($W11="V",IF(INDEX(Units!$H$5:$H$54,$X11)&lt;&gt;"","Vacant. A signed lease starts on the Lease start date.","Vacant."),""))</f>
        <v>Abated on the date.</v>
      </c>
      <c r="U11" s="16" t="str">
        <f>IF($W11="L",IF(INDEX(Leases!$R$5:$R$34,$X11)="","",INDEX(Leases!$R$5:$R$34,$X11)),IF($W11="V",IF(INDEX(Units!$D$5:$D$54,$X11)="","",INDEX(Units!$D$5:$D$54,$X11)),""))</f>
        <v/>
      </c>
      <c r="W11" s="15" t="str">
        <f>IF((ROW()-ROW($A$9))&lt;=$W$7,"L",IF((ROW()-ROW($A$9))&lt;=$W$7+$X$7,"V",""))</f>
        <v>L</v>
      </c>
      <c r="X11" s="15">
        <f>IF(W11="L",MATCH((ROW()-ROW($A$9)),Leases!$AQ$5:$AQ$34,0),IF(W11="V",MATCH((ROW()-ROW($A$9))-$W$7,Units!$J$5:$J$54,0),""))</f>
        <v>2</v>
      </c>
      <c r="Y11" s="15">
        <f>IF(W11="L",INDEX(Leases!$AI$5:$AI$34,$X11),0)</f>
        <v>1</v>
      </c>
    </row>
    <row r="12">
      <c r="A12" s="15">
        <f>IF($W12="","",(ROW()-ROW($A$9)))</f>
        <v>3</v>
      </c>
      <c r="B12" s="16" t="str">
        <f>IF($W12="L",IF(INDEX(Leases!$A$5:$A$34,$X12)="","",INDEX(Leases!$A$5:$A$34,$X12)),IF($W12="V","Vacant",""))</f>
        <v>Vacant</v>
      </c>
      <c r="C12" s="16">
        <f>IF($W12="L",IF(INDEX(Leases!$V$5:$V$34,$X12)="","",INDEX(Leases!$V$5:$V$34,$X12)),IF($W12="V",IF(INDEX(Units!$A$5:$A$54,$X12)="","",INDEX(Units!$A$5:$A$54,$X12)),""))</f>
        <v>104</v>
      </c>
      <c r="D12" s="16" t="str">
        <f>IF($W12="L",IF(INDEX(Leases!$B$5:$B$34,$X12)="","",INDEX(Leases!$B$5:$B$34,$X12)),IF($W12="V","",""))</f>
        <v/>
      </c>
      <c r="E12" s="17">
        <f>IF($W12="L",INDEX(Leases!$W$5:$W$34,$X12),IF($W12="V",IF(INDEX(Units!$B$5:$B$54,$X12)="","",INDEX(Units!$B$5:$B$54,$X12)),""))</f>
        <v>1000</v>
      </c>
      <c r="F12" s="18" t="str">
        <f>IF($W12="L",IF(INDEX(Leases!$C$5:$C$34,$X12)="","",INDEX(Leases!$C$5:$C$34,$X12)),IF($W12="V",IF(INDEX(Units!$H$5:$H$54,$X12)="","",INDEX(Units!$H$5:$H$54,$X12)),""))</f>
        <v/>
      </c>
      <c r="G12" s="18" t="str">
        <f>IF($W12="L",IF(INDEX(Leases!$D$5:$D$34,$X12)="","No end date",INDEX(Leases!$D$5:$D$34,$X12)),IF($W12="V","",""))</f>
        <v/>
      </c>
      <c r="H12" s="18" t="str">
        <f>IF($W12="L",IF(INDEX(Leases!$E$5:$E$34,$X12)="","",INDEX(Leases!$E$5:$E$34,$X12)),IF($W12="V","",""))</f>
        <v/>
      </c>
      <c r="I12" s="19" t="str">
        <f>IF($W12="L",IF(INDEX(Leases!$X$5:$X$34,$X12)="","",INDEX(Leases!$X$5:$X$34,$X12)),IF($W12="V","",""))</f>
        <v/>
      </c>
      <c r="J12" s="19" t="str">
        <f>IF($W12="L",IF(INDEX(Leases!$Z$5:$Z$34,$X12)="","",INDEX(Leases!$Z$5:$Z$34,$X12)),IF($W12="V","",""))</f>
        <v/>
      </c>
      <c r="K12" s="19" t="str">
        <f>IF($W12="L",IF(INDEX(Leases!$Y$5:$Y$34,$X12)="","",INDEX(Leases!$Y$5:$Y$34,$X12)),IF($W12="V","",""))</f>
        <v/>
      </c>
      <c r="L12" s="19" t="str">
        <f>IF($W12="L",IF(INDEX(Leases!$M$5:$M$34,$X12)="","",INDEX(Leases!$M$5:$M$34,$X12)),IF($W12="V","",""))</f>
        <v/>
      </c>
      <c r="M12" s="18" t="str">
        <f>IF($W12="L",IF(INDEX(Leases!$AA$5:$AA$34,$X12)="","",INDEX(Leases!$AA$5:$AA$34,$X12)),IF($W12="V","",""))</f>
        <v/>
      </c>
      <c r="N12" s="19" t="str">
        <f>IF($W12="L",IF(INDEX(Leases!$AB$5:$AB$34,$X12)="","",INDEX(Leases!$AB$5:$AB$34,$X12)),IF($W12="V","",""))</f>
        <v/>
      </c>
      <c r="O12" s="20" t="str">
        <f>IF($W12="L",IF(INDEX(Leases!$AD$5:$AD$34,$X12)=1,INDEX(Leases!$J$5:$J$34,$X12),""),IF($W12="V","",""))</f>
        <v/>
      </c>
      <c r="P12" s="18" t="str">
        <f>IF($W12="L",IF(INDEX(Leases!$AD$5:$AD$34,$X12)=1,INDEX(Leases!$L$5:$L$34,$X12),""),IF($W12="V","",""))</f>
        <v/>
      </c>
      <c r="Q12" s="19" t="str">
        <f>IF($W12="L",INDEX(Leases!$AE$5:$AE$34,$X12),IF($W12="V","",""))</f>
        <v/>
      </c>
      <c r="R12" s="19" t="str">
        <f>IF($W12="L",INDEX(Leases!$AF$5:$AF$34,$X12),IF($W12="V","",""))</f>
        <v/>
      </c>
      <c r="S12" s="19" t="str">
        <f>IF($W12="L",IF(INDEX(Leases!$AH$5:$AH$34,$X12)="","",INDEX(Leases!$AH$5:$AH$34,$X12)),IF($W12="V","",""))</f>
        <v/>
      </c>
      <c r="T12" s="16" t="str">
        <f>IF($W12="L",TRIM(IF(INDEX(Leases!$AJ$5:$AJ$34,$X12)=1,"Awaiting index: not in rent totals. ","")&amp;IF(INDEX(Leases!$AC$5:$AC$34,$X12)=1,"Rent not started. ","")&amp;IF(INDEX(Leases!$AD$5:$AD$34,$X12)=1,"Abated on the date. ","")&amp;IF(INDEX(Leases!$AG$5:$AG$34,$X12)=1,"Letter of credit expired. ","")),IF($W12="V",IF(INDEX(Units!$H$5:$H$54,$X12)&lt;&gt;"","Vacant. A signed lease starts on the Lease start date.","Vacant."),""))</f>
        <v>Vacant.</v>
      </c>
      <c r="U12" s="16" t="str">
        <f>IF($W12="L",IF(INDEX(Leases!$R$5:$R$34,$X12)="","",INDEX(Leases!$R$5:$R$34,$X12)),IF($W12="V",IF(INDEX(Units!$D$5:$D$54,$X12)="","",INDEX(Units!$D$5:$D$54,$X12)),""))</f>
        <v/>
      </c>
      <c r="W12" s="15" t="str">
        <f>IF((ROW()-ROW($A$9))&lt;=$W$7,"L",IF((ROW()-ROW($A$9))&lt;=$W$7+$X$7,"V",""))</f>
        <v>V</v>
      </c>
      <c r="X12" s="15">
        <f>IF(W12="L",MATCH((ROW()-ROW($A$9)),Leases!$AQ$5:$AQ$34,0),IF(W12="V",MATCH((ROW()-ROW($A$9))-$W$7,Units!$J$5:$J$54,0),""))</f>
        <v>4</v>
      </c>
      <c r="Y12" s="15">
        <f>IF(W12="L",INDEX(Leases!$AI$5:$AI$34,$X12),0)</f>
        <v>0</v>
      </c>
    </row>
    <row r="13">
      <c r="A13" s="15" t="str">
        <f>IF($W13="","",(ROW()-ROW($A$9)))</f>
        <v/>
      </c>
      <c r="B13" s="16" t="str">
        <f>IF($W13="L",IF(INDEX(Leases!$A$5:$A$34,$X13)="","",INDEX(Leases!$A$5:$A$34,$X13)),IF($W13="V","Vacant",""))</f>
        <v/>
      </c>
      <c r="C13" s="16" t="str">
        <f>IF($W13="L",IF(INDEX(Leases!$V$5:$V$34,$X13)="","",INDEX(Leases!$V$5:$V$34,$X13)),IF($W13="V",IF(INDEX(Units!$A$5:$A$54,$X13)="","",INDEX(Units!$A$5:$A$54,$X13)),""))</f>
        <v/>
      </c>
      <c r="D13" s="16" t="str">
        <f>IF($W13="L",IF(INDEX(Leases!$B$5:$B$34,$X13)="","",INDEX(Leases!$B$5:$B$34,$X13)),IF($W13="V","",""))</f>
        <v/>
      </c>
      <c r="E13" s="17" t="str">
        <f>IF($W13="L",INDEX(Leases!$W$5:$W$34,$X13),IF($W13="V",IF(INDEX(Units!$B$5:$B$54,$X13)="","",INDEX(Units!$B$5:$B$54,$X13)),""))</f>
        <v/>
      </c>
      <c r="F13" s="18" t="str">
        <f>IF($W13="L",IF(INDEX(Leases!$C$5:$C$34,$X13)="","",INDEX(Leases!$C$5:$C$34,$X13)),IF($W13="V",IF(INDEX(Units!$H$5:$H$54,$X13)="","",INDEX(Units!$H$5:$H$54,$X13)),""))</f>
        <v/>
      </c>
      <c r="G13" s="18" t="str">
        <f>IF($W13="L",IF(INDEX(Leases!$D$5:$D$34,$X13)="","No end date",INDEX(Leases!$D$5:$D$34,$X13)),IF($W13="V","",""))</f>
        <v/>
      </c>
      <c r="H13" s="18" t="str">
        <f>IF($W13="L",IF(INDEX(Leases!$E$5:$E$34,$X13)="","",INDEX(Leases!$E$5:$E$34,$X13)),IF($W13="V","",""))</f>
        <v/>
      </c>
      <c r="I13" s="19" t="str">
        <f>IF($W13="L",IF(INDEX(Leases!$X$5:$X$34,$X13)="","",INDEX(Leases!$X$5:$X$34,$X13)),IF($W13="V","",""))</f>
        <v/>
      </c>
      <c r="J13" s="19" t="str">
        <f>IF($W13="L",IF(INDEX(Leases!$Z$5:$Z$34,$X13)="","",INDEX(Leases!$Z$5:$Z$34,$X13)),IF($W13="V","",""))</f>
        <v/>
      </c>
      <c r="K13" s="19" t="str">
        <f>IF($W13="L",IF(INDEX(Leases!$Y$5:$Y$34,$X13)="","",INDEX(Leases!$Y$5:$Y$34,$X13)),IF($W13="V","",""))</f>
        <v/>
      </c>
      <c r="L13" s="19" t="str">
        <f>IF($W13="L",IF(INDEX(Leases!$M$5:$M$34,$X13)="","",INDEX(Leases!$M$5:$M$34,$X13)),IF($W13="V","",""))</f>
        <v/>
      </c>
      <c r="M13" s="18" t="str">
        <f>IF($W13="L",IF(INDEX(Leases!$AA$5:$AA$34,$X13)="","",INDEX(Leases!$AA$5:$AA$34,$X13)),IF($W13="V","",""))</f>
        <v/>
      </c>
      <c r="N13" s="19" t="str">
        <f>IF($W13="L",IF(INDEX(Leases!$AB$5:$AB$34,$X13)="","",INDEX(Leases!$AB$5:$AB$34,$X13)),IF($W13="V","",""))</f>
        <v/>
      </c>
      <c r="O13" s="20" t="str">
        <f>IF($W13="L",IF(INDEX(Leases!$AD$5:$AD$34,$X13)=1,INDEX(Leases!$J$5:$J$34,$X13),""),IF($W13="V","",""))</f>
        <v/>
      </c>
      <c r="P13" s="18" t="str">
        <f>IF($W13="L",IF(INDEX(Leases!$AD$5:$AD$34,$X13)=1,INDEX(Leases!$L$5:$L$34,$X13),""),IF($W13="V","",""))</f>
        <v/>
      </c>
      <c r="Q13" s="19" t="str">
        <f>IF($W13="L",INDEX(Leases!$AE$5:$AE$34,$X13),IF($W13="V","",""))</f>
        <v/>
      </c>
      <c r="R13" s="19" t="str">
        <f>IF($W13="L",INDEX(Leases!$AF$5:$AF$34,$X13),IF($W13="V","",""))</f>
        <v/>
      </c>
      <c r="S13" s="19" t="str">
        <f>IF($W13="L",IF(INDEX(Leases!$AH$5:$AH$34,$X13)="","",INDEX(Leases!$AH$5:$AH$34,$X13)),IF($W13="V","",""))</f>
        <v/>
      </c>
      <c r="T13" s="16" t="str">
        <f>IF($W13="L",TRIM(IF(INDEX(Leases!$AJ$5:$AJ$34,$X13)=1,"Awaiting index: not in rent totals. ","")&amp;IF(INDEX(Leases!$AC$5:$AC$34,$X13)=1,"Rent not started. ","")&amp;IF(INDEX(Leases!$AD$5:$AD$34,$X13)=1,"Abated on the date. ","")&amp;IF(INDEX(Leases!$AG$5:$AG$34,$X13)=1,"Letter of credit expired. ","")),IF($W13="V",IF(INDEX(Units!$H$5:$H$54,$X13)&lt;&gt;"","Vacant. A signed lease starts on the Lease start date.","Vacant."),""))</f>
        <v/>
      </c>
      <c r="U13" s="16" t="str">
        <f>IF($W13="L",IF(INDEX(Leases!$R$5:$R$34,$X13)="","",INDEX(Leases!$R$5:$R$34,$X13)),IF($W13="V",IF(INDEX(Units!$D$5:$D$54,$X13)="","",INDEX(Units!$D$5:$D$54,$X13)),""))</f>
        <v/>
      </c>
      <c r="W13" s="15" t="str">
        <f>IF((ROW()-ROW($A$9))&lt;=$W$7,"L",IF((ROW()-ROW($A$9))&lt;=$W$7+$X$7,"V",""))</f>
        <v/>
      </c>
      <c r="X13" s="15" t="str">
        <f>IF(W13="L",MATCH((ROW()-ROW($A$9)),Leases!$AQ$5:$AQ$34,0),IF(W13="V",MATCH((ROW()-ROW($A$9))-$W$7,Units!$J$5:$J$54,0),""))</f>
        <v/>
      </c>
      <c r="Y13" s="15">
        <f>IF(W13="L",INDEX(Leases!$AI$5:$AI$34,$X13),0)</f>
        <v>0</v>
      </c>
    </row>
    <row r="14">
      <c r="A14" s="15" t="str">
        <f>IF($W14="","",(ROW()-ROW($A$9)))</f>
        <v/>
      </c>
      <c r="B14" s="16" t="str">
        <f>IF($W14="L",IF(INDEX(Leases!$A$5:$A$34,$X14)="","",INDEX(Leases!$A$5:$A$34,$X14)),IF($W14="V","Vacant",""))</f>
        <v/>
      </c>
      <c r="C14" s="16" t="str">
        <f>IF($W14="L",IF(INDEX(Leases!$V$5:$V$34,$X14)="","",INDEX(Leases!$V$5:$V$34,$X14)),IF($W14="V",IF(INDEX(Units!$A$5:$A$54,$X14)="","",INDEX(Units!$A$5:$A$54,$X14)),""))</f>
        <v/>
      </c>
      <c r="D14" s="16" t="str">
        <f>IF($W14="L",IF(INDEX(Leases!$B$5:$B$34,$X14)="","",INDEX(Leases!$B$5:$B$34,$X14)),IF($W14="V","",""))</f>
        <v/>
      </c>
      <c r="E14" s="17" t="str">
        <f>IF($W14="L",INDEX(Leases!$W$5:$W$34,$X14),IF($W14="V",IF(INDEX(Units!$B$5:$B$54,$X14)="","",INDEX(Units!$B$5:$B$54,$X14)),""))</f>
        <v/>
      </c>
      <c r="F14" s="18" t="str">
        <f>IF($W14="L",IF(INDEX(Leases!$C$5:$C$34,$X14)="","",INDEX(Leases!$C$5:$C$34,$X14)),IF($W14="V",IF(INDEX(Units!$H$5:$H$54,$X14)="","",INDEX(Units!$H$5:$H$54,$X14)),""))</f>
        <v/>
      </c>
      <c r="G14" s="18" t="str">
        <f>IF($W14="L",IF(INDEX(Leases!$D$5:$D$34,$X14)="","No end date",INDEX(Leases!$D$5:$D$34,$X14)),IF($W14="V","",""))</f>
        <v/>
      </c>
      <c r="H14" s="18" t="str">
        <f>IF($W14="L",IF(INDEX(Leases!$E$5:$E$34,$X14)="","",INDEX(Leases!$E$5:$E$34,$X14)),IF($W14="V","",""))</f>
        <v/>
      </c>
      <c r="I14" s="19" t="str">
        <f>IF($W14="L",IF(INDEX(Leases!$X$5:$X$34,$X14)="","",INDEX(Leases!$X$5:$X$34,$X14)),IF($W14="V","",""))</f>
        <v/>
      </c>
      <c r="J14" s="19" t="str">
        <f>IF($W14="L",IF(INDEX(Leases!$Z$5:$Z$34,$X14)="","",INDEX(Leases!$Z$5:$Z$34,$X14)),IF($W14="V","",""))</f>
        <v/>
      </c>
      <c r="K14" s="19" t="str">
        <f>IF($W14="L",IF(INDEX(Leases!$Y$5:$Y$34,$X14)="","",INDEX(Leases!$Y$5:$Y$34,$X14)),IF($W14="V","",""))</f>
        <v/>
      </c>
      <c r="L14" s="19" t="str">
        <f>IF($W14="L",IF(INDEX(Leases!$M$5:$M$34,$X14)="","",INDEX(Leases!$M$5:$M$34,$X14)),IF($W14="V","",""))</f>
        <v/>
      </c>
      <c r="M14" s="18" t="str">
        <f>IF($W14="L",IF(INDEX(Leases!$AA$5:$AA$34,$X14)="","",INDEX(Leases!$AA$5:$AA$34,$X14)),IF($W14="V","",""))</f>
        <v/>
      </c>
      <c r="N14" s="19" t="str">
        <f>IF($W14="L",IF(INDEX(Leases!$AB$5:$AB$34,$X14)="","",INDEX(Leases!$AB$5:$AB$34,$X14)),IF($W14="V","",""))</f>
        <v/>
      </c>
      <c r="O14" s="20" t="str">
        <f>IF($W14="L",IF(INDEX(Leases!$AD$5:$AD$34,$X14)=1,INDEX(Leases!$J$5:$J$34,$X14),""),IF($W14="V","",""))</f>
        <v/>
      </c>
      <c r="P14" s="18" t="str">
        <f>IF($W14="L",IF(INDEX(Leases!$AD$5:$AD$34,$X14)=1,INDEX(Leases!$L$5:$L$34,$X14),""),IF($W14="V","",""))</f>
        <v/>
      </c>
      <c r="Q14" s="19" t="str">
        <f>IF($W14="L",INDEX(Leases!$AE$5:$AE$34,$X14),IF($W14="V","",""))</f>
        <v/>
      </c>
      <c r="R14" s="19" t="str">
        <f>IF($W14="L",INDEX(Leases!$AF$5:$AF$34,$X14),IF($W14="V","",""))</f>
        <v/>
      </c>
      <c r="S14" s="19" t="str">
        <f>IF($W14="L",IF(INDEX(Leases!$AH$5:$AH$34,$X14)="","",INDEX(Leases!$AH$5:$AH$34,$X14)),IF($W14="V","",""))</f>
        <v/>
      </c>
      <c r="T14" s="16" t="str">
        <f>IF($W14="L",TRIM(IF(INDEX(Leases!$AJ$5:$AJ$34,$X14)=1,"Awaiting index: not in rent totals. ","")&amp;IF(INDEX(Leases!$AC$5:$AC$34,$X14)=1,"Rent not started. ","")&amp;IF(INDEX(Leases!$AD$5:$AD$34,$X14)=1,"Abated on the date. ","")&amp;IF(INDEX(Leases!$AG$5:$AG$34,$X14)=1,"Letter of credit expired. ","")),IF($W14="V",IF(INDEX(Units!$H$5:$H$54,$X14)&lt;&gt;"","Vacant. A signed lease starts on the Lease start date.","Vacant."),""))</f>
        <v/>
      </c>
      <c r="U14" s="16" t="str">
        <f>IF($W14="L",IF(INDEX(Leases!$R$5:$R$34,$X14)="","",INDEX(Leases!$R$5:$R$34,$X14)),IF($W14="V",IF(INDEX(Units!$D$5:$D$54,$X14)="","",INDEX(Units!$D$5:$D$54,$X14)),""))</f>
        <v/>
      </c>
      <c r="W14" s="15" t="str">
        <f>IF((ROW()-ROW($A$9))&lt;=$W$7,"L",IF((ROW()-ROW($A$9))&lt;=$W$7+$X$7,"V",""))</f>
        <v/>
      </c>
      <c r="X14" s="15" t="str">
        <f>IF(W14="L",MATCH((ROW()-ROW($A$9)),Leases!$AQ$5:$AQ$34,0),IF(W14="V",MATCH((ROW()-ROW($A$9))-$W$7,Units!$J$5:$J$54,0),""))</f>
        <v/>
      </c>
      <c r="Y14" s="15">
        <f>IF(W14="L",INDEX(Leases!$AI$5:$AI$34,$X14),0)</f>
        <v>0</v>
      </c>
    </row>
    <row r="15">
      <c r="A15" s="15" t="str">
        <f>IF($W15="","",(ROW()-ROW($A$9)))</f>
        <v/>
      </c>
      <c r="B15" s="16" t="str">
        <f>IF($W15="L",IF(INDEX(Leases!$A$5:$A$34,$X15)="","",INDEX(Leases!$A$5:$A$34,$X15)),IF($W15="V","Vacant",""))</f>
        <v/>
      </c>
      <c r="C15" s="16" t="str">
        <f>IF($W15="L",IF(INDEX(Leases!$V$5:$V$34,$X15)="","",INDEX(Leases!$V$5:$V$34,$X15)),IF($W15="V",IF(INDEX(Units!$A$5:$A$54,$X15)="","",INDEX(Units!$A$5:$A$54,$X15)),""))</f>
        <v/>
      </c>
      <c r="D15" s="16" t="str">
        <f>IF($W15="L",IF(INDEX(Leases!$B$5:$B$34,$X15)="","",INDEX(Leases!$B$5:$B$34,$X15)),IF($W15="V","",""))</f>
        <v/>
      </c>
      <c r="E15" s="17" t="str">
        <f>IF($W15="L",INDEX(Leases!$W$5:$W$34,$X15),IF($W15="V",IF(INDEX(Units!$B$5:$B$54,$X15)="","",INDEX(Units!$B$5:$B$54,$X15)),""))</f>
        <v/>
      </c>
      <c r="F15" s="18" t="str">
        <f>IF($W15="L",IF(INDEX(Leases!$C$5:$C$34,$X15)="","",INDEX(Leases!$C$5:$C$34,$X15)),IF($W15="V",IF(INDEX(Units!$H$5:$H$54,$X15)="","",INDEX(Units!$H$5:$H$54,$X15)),""))</f>
        <v/>
      </c>
      <c r="G15" s="18" t="str">
        <f>IF($W15="L",IF(INDEX(Leases!$D$5:$D$34,$X15)="","No end date",INDEX(Leases!$D$5:$D$34,$X15)),IF($W15="V","",""))</f>
        <v/>
      </c>
      <c r="H15" s="18" t="str">
        <f>IF($W15="L",IF(INDEX(Leases!$E$5:$E$34,$X15)="","",INDEX(Leases!$E$5:$E$34,$X15)),IF($W15="V","",""))</f>
        <v/>
      </c>
      <c r="I15" s="19" t="str">
        <f>IF($W15="L",IF(INDEX(Leases!$X$5:$X$34,$X15)="","",INDEX(Leases!$X$5:$X$34,$X15)),IF($W15="V","",""))</f>
        <v/>
      </c>
      <c r="J15" s="19" t="str">
        <f>IF($W15="L",IF(INDEX(Leases!$Z$5:$Z$34,$X15)="","",INDEX(Leases!$Z$5:$Z$34,$X15)),IF($W15="V","",""))</f>
        <v/>
      </c>
      <c r="K15" s="19" t="str">
        <f>IF($W15="L",IF(INDEX(Leases!$Y$5:$Y$34,$X15)="","",INDEX(Leases!$Y$5:$Y$34,$X15)),IF($W15="V","",""))</f>
        <v/>
      </c>
      <c r="L15" s="19" t="str">
        <f>IF($W15="L",IF(INDEX(Leases!$M$5:$M$34,$X15)="","",INDEX(Leases!$M$5:$M$34,$X15)),IF($W15="V","",""))</f>
        <v/>
      </c>
      <c r="M15" s="18" t="str">
        <f>IF($W15="L",IF(INDEX(Leases!$AA$5:$AA$34,$X15)="","",INDEX(Leases!$AA$5:$AA$34,$X15)),IF($W15="V","",""))</f>
        <v/>
      </c>
      <c r="N15" s="19" t="str">
        <f>IF($W15="L",IF(INDEX(Leases!$AB$5:$AB$34,$X15)="","",INDEX(Leases!$AB$5:$AB$34,$X15)),IF($W15="V","",""))</f>
        <v/>
      </c>
      <c r="O15" s="20" t="str">
        <f>IF($W15="L",IF(INDEX(Leases!$AD$5:$AD$34,$X15)=1,INDEX(Leases!$J$5:$J$34,$X15),""),IF($W15="V","",""))</f>
        <v/>
      </c>
      <c r="P15" s="18" t="str">
        <f>IF($W15="L",IF(INDEX(Leases!$AD$5:$AD$34,$X15)=1,INDEX(Leases!$L$5:$L$34,$X15),""),IF($W15="V","",""))</f>
        <v/>
      </c>
      <c r="Q15" s="19" t="str">
        <f>IF($W15="L",INDEX(Leases!$AE$5:$AE$34,$X15),IF($W15="V","",""))</f>
        <v/>
      </c>
      <c r="R15" s="19" t="str">
        <f>IF($W15="L",INDEX(Leases!$AF$5:$AF$34,$X15),IF($W15="V","",""))</f>
        <v/>
      </c>
      <c r="S15" s="19" t="str">
        <f>IF($W15="L",IF(INDEX(Leases!$AH$5:$AH$34,$X15)="","",INDEX(Leases!$AH$5:$AH$34,$X15)),IF($W15="V","",""))</f>
        <v/>
      </c>
      <c r="T15" s="16" t="str">
        <f>IF($W15="L",TRIM(IF(INDEX(Leases!$AJ$5:$AJ$34,$X15)=1,"Awaiting index: not in rent totals. ","")&amp;IF(INDEX(Leases!$AC$5:$AC$34,$X15)=1,"Rent not started. ","")&amp;IF(INDEX(Leases!$AD$5:$AD$34,$X15)=1,"Abated on the date. ","")&amp;IF(INDEX(Leases!$AG$5:$AG$34,$X15)=1,"Letter of credit expired. ","")),IF($W15="V",IF(INDEX(Units!$H$5:$H$54,$X15)&lt;&gt;"","Vacant. A signed lease starts on the Lease start date.","Vacant."),""))</f>
        <v/>
      </c>
      <c r="U15" s="16" t="str">
        <f>IF($W15="L",IF(INDEX(Leases!$R$5:$R$34,$X15)="","",INDEX(Leases!$R$5:$R$34,$X15)),IF($W15="V",IF(INDEX(Units!$D$5:$D$54,$X15)="","",INDEX(Units!$D$5:$D$54,$X15)),""))</f>
        <v/>
      </c>
      <c r="W15" s="15" t="str">
        <f>IF((ROW()-ROW($A$9))&lt;=$W$7,"L",IF((ROW()-ROW($A$9))&lt;=$W$7+$X$7,"V",""))</f>
        <v/>
      </c>
      <c r="X15" s="15" t="str">
        <f>IF(W15="L",MATCH((ROW()-ROW($A$9)),Leases!$AQ$5:$AQ$34,0),IF(W15="V",MATCH((ROW()-ROW($A$9))-$W$7,Units!$J$5:$J$54,0),""))</f>
        <v/>
      </c>
      <c r="Y15" s="15">
        <f>IF(W15="L",INDEX(Leases!$AI$5:$AI$34,$X15),0)</f>
        <v>0</v>
      </c>
    </row>
    <row r="16">
      <c r="A16" s="15" t="str">
        <f>IF($W16="","",(ROW()-ROW($A$9)))</f>
        <v/>
      </c>
      <c r="B16" s="16" t="str">
        <f>IF($W16="L",IF(INDEX(Leases!$A$5:$A$34,$X16)="","",INDEX(Leases!$A$5:$A$34,$X16)),IF($W16="V","Vacant",""))</f>
        <v/>
      </c>
      <c r="C16" s="16" t="str">
        <f>IF($W16="L",IF(INDEX(Leases!$V$5:$V$34,$X16)="","",INDEX(Leases!$V$5:$V$34,$X16)),IF($W16="V",IF(INDEX(Units!$A$5:$A$54,$X16)="","",INDEX(Units!$A$5:$A$54,$X16)),""))</f>
        <v/>
      </c>
      <c r="D16" s="16" t="str">
        <f>IF($W16="L",IF(INDEX(Leases!$B$5:$B$34,$X16)="","",INDEX(Leases!$B$5:$B$34,$X16)),IF($W16="V","",""))</f>
        <v/>
      </c>
      <c r="E16" s="17" t="str">
        <f>IF($W16="L",INDEX(Leases!$W$5:$W$34,$X16),IF($W16="V",IF(INDEX(Units!$B$5:$B$54,$X16)="","",INDEX(Units!$B$5:$B$54,$X16)),""))</f>
        <v/>
      </c>
      <c r="F16" s="18" t="str">
        <f>IF($W16="L",IF(INDEX(Leases!$C$5:$C$34,$X16)="","",INDEX(Leases!$C$5:$C$34,$X16)),IF($W16="V",IF(INDEX(Units!$H$5:$H$54,$X16)="","",INDEX(Units!$H$5:$H$54,$X16)),""))</f>
        <v/>
      </c>
      <c r="G16" s="18" t="str">
        <f>IF($W16="L",IF(INDEX(Leases!$D$5:$D$34,$X16)="","No end date",INDEX(Leases!$D$5:$D$34,$X16)),IF($W16="V","",""))</f>
        <v/>
      </c>
      <c r="H16" s="18" t="str">
        <f>IF($W16="L",IF(INDEX(Leases!$E$5:$E$34,$X16)="","",INDEX(Leases!$E$5:$E$34,$X16)),IF($W16="V","",""))</f>
        <v/>
      </c>
      <c r="I16" s="19" t="str">
        <f>IF($W16="L",IF(INDEX(Leases!$X$5:$X$34,$X16)="","",INDEX(Leases!$X$5:$X$34,$X16)),IF($W16="V","",""))</f>
        <v/>
      </c>
      <c r="J16" s="19" t="str">
        <f>IF($W16="L",IF(INDEX(Leases!$Z$5:$Z$34,$X16)="","",INDEX(Leases!$Z$5:$Z$34,$X16)),IF($W16="V","",""))</f>
        <v/>
      </c>
      <c r="K16" s="19" t="str">
        <f>IF($W16="L",IF(INDEX(Leases!$Y$5:$Y$34,$X16)="","",INDEX(Leases!$Y$5:$Y$34,$X16)),IF($W16="V","",""))</f>
        <v/>
      </c>
      <c r="L16" s="19" t="str">
        <f>IF($W16="L",IF(INDEX(Leases!$M$5:$M$34,$X16)="","",INDEX(Leases!$M$5:$M$34,$X16)),IF($W16="V","",""))</f>
        <v/>
      </c>
      <c r="M16" s="18" t="str">
        <f>IF($W16="L",IF(INDEX(Leases!$AA$5:$AA$34,$X16)="","",INDEX(Leases!$AA$5:$AA$34,$X16)),IF($W16="V","",""))</f>
        <v/>
      </c>
      <c r="N16" s="19" t="str">
        <f>IF($W16="L",IF(INDEX(Leases!$AB$5:$AB$34,$X16)="","",INDEX(Leases!$AB$5:$AB$34,$X16)),IF($W16="V","",""))</f>
        <v/>
      </c>
      <c r="O16" s="20" t="str">
        <f>IF($W16="L",IF(INDEX(Leases!$AD$5:$AD$34,$X16)=1,INDEX(Leases!$J$5:$J$34,$X16),""),IF($W16="V","",""))</f>
        <v/>
      </c>
      <c r="P16" s="18" t="str">
        <f>IF($W16="L",IF(INDEX(Leases!$AD$5:$AD$34,$X16)=1,INDEX(Leases!$L$5:$L$34,$X16),""),IF($W16="V","",""))</f>
        <v/>
      </c>
      <c r="Q16" s="19" t="str">
        <f>IF($W16="L",INDEX(Leases!$AE$5:$AE$34,$X16),IF($W16="V","",""))</f>
        <v/>
      </c>
      <c r="R16" s="19" t="str">
        <f>IF($W16="L",INDEX(Leases!$AF$5:$AF$34,$X16),IF($W16="V","",""))</f>
        <v/>
      </c>
      <c r="S16" s="19" t="str">
        <f>IF($W16="L",IF(INDEX(Leases!$AH$5:$AH$34,$X16)="","",INDEX(Leases!$AH$5:$AH$34,$X16)),IF($W16="V","",""))</f>
        <v/>
      </c>
      <c r="T16" s="16" t="str">
        <f>IF($W16="L",TRIM(IF(INDEX(Leases!$AJ$5:$AJ$34,$X16)=1,"Awaiting index: not in rent totals. ","")&amp;IF(INDEX(Leases!$AC$5:$AC$34,$X16)=1,"Rent not started. ","")&amp;IF(INDEX(Leases!$AD$5:$AD$34,$X16)=1,"Abated on the date. ","")&amp;IF(INDEX(Leases!$AG$5:$AG$34,$X16)=1,"Letter of credit expired. ","")),IF($W16="V",IF(INDEX(Units!$H$5:$H$54,$X16)&lt;&gt;"","Vacant. A signed lease starts on the Lease start date.","Vacant."),""))</f>
        <v/>
      </c>
      <c r="U16" s="16" t="str">
        <f>IF($W16="L",IF(INDEX(Leases!$R$5:$R$34,$X16)="","",INDEX(Leases!$R$5:$R$34,$X16)),IF($W16="V",IF(INDEX(Units!$D$5:$D$54,$X16)="","",INDEX(Units!$D$5:$D$54,$X16)),""))</f>
        <v/>
      </c>
      <c r="W16" s="15" t="str">
        <f>IF((ROW()-ROW($A$9))&lt;=$W$7,"L",IF((ROW()-ROW($A$9))&lt;=$W$7+$X$7,"V",""))</f>
        <v/>
      </c>
      <c r="X16" s="15" t="str">
        <f>IF(W16="L",MATCH((ROW()-ROW($A$9)),Leases!$AQ$5:$AQ$34,0),IF(W16="V",MATCH((ROW()-ROW($A$9))-$W$7,Units!$J$5:$J$54,0),""))</f>
        <v/>
      </c>
      <c r="Y16" s="15">
        <f>IF(W16="L",INDEX(Leases!$AI$5:$AI$34,$X16),0)</f>
        <v>0</v>
      </c>
    </row>
    <row r="17">
      <c r="A17" s="15" t="str">
        <f>IF($W17="","",(ROW()-ROW($A$9)))</f>
        <v/>
      </c>
      <c r="B17" s="16" t="str">
        <f>IF($W17="L",IF(INDEX(Leases!$A$5:$A$34,$X17)="","",INDEX(Leases!$A$5:$A$34,$X17)),IF($W17="V","Vacant",""))</f>
        <v/>
      </c>
      <c r="C17" s="16" t="str">
        <f>IF($W17="L",IF(INDEX(Leases!$V$5:$V$34,$X17)="","",INDEX(Leases!$V$5:$V$34,$X17)),IF($W17="V",IF(INDEX(Units!$A$5:$A$54,$X17)="","",INDEX(Units!$A$5:$A$54,$X17)),""))</f>
        <v/>
      </c>
      <c r="D17" s="16" t="str">
        <f>IF($W17="L",IF(INDEX(Leases!$B$5:$B$34,$X17)="","",INDEX(Leases!$B$5:$B$34,$X17)),IF($W17="V","",""))</f>
        <v/>
      </c>
      <c r="E17" s="17" t="str">
        <f>IF($W17="L",INDEX(Leases!$W$5:$W$34,$X17),IF($W17="V",IF(INDEX(Units!$B$5:$B$54,$X17)="","",INDEX(Units!$B$5:$B$54,$X17)),""))</f>
        <v/>
      </c>
      <c r="F17" s="18" t="str">
        <f>IF($W17="L",IF(INDEX(Leases!$C$5:$C$34,$X17)="","",INDEX(Leases!$C$5:$C$34,$X17)),IF($W17="V",IF(INDEX(Units!$H$5:$H$54,$X17)="","",INDEX(Units!$H$5:$H$54,$X17)),""))</f>
        <v/>
      </c>
      <c r="G17" s="18" t="str">
        <f>IF($W17="L",IF(INDEX(Leases!$D$5:$D$34,$X17)="","No end date",INDEX(Leases!$D$5:$D$34,$X17)),IF($W17="V","",""))</f>
        <v/>
      </c>
      <c r="H17" s="18" t="str">
        <f>IF($W17="L",IF(INDEX(Leases!$E$5:$E$34,$X17)="","",INDEX(Leases!$E$5:$E$34,$X17)),IF($W17="V","",""))</f>
        <v/>
      </c>
      <c r="I17" s="19" t="str">
        <f>IF($W17="L",IF(INDEX(Leases!$X$5:$X$34,$X17)="","",INDEX(Leases!$X$5:$X$34,$X17)),IF($W17="V","",""))</f>
        <v/>
      </c>
      <c r="J17" s="19" t="str">
        <f>IF($W17="L",IF(INDEX(Leases!$Z$5:$Z$34,$X17)="","",INDEX(Leases!$Z$5:$Z$34,$X17)),IF($W17="V","",""))</f>
        <v/>
      </c>
      <c r="K17" s="19" t="str">
        <f>IF($W17="L",IF(INDEX(Leases!$Y$5:$Y$34,$X17)="","",INDEX(Leases!$Y$5:$Y$34,$X17)),IF($W17="V","",""))</f>
        <v/>
      </c>
      <c r="L17" s="19" t="str">
        <f>IF($W17="L",IF(INDEX(Leases!$M$5:$M$34,$X17)="","",INDEX(Leases!$M$5:$M$34,$X17)),IF($W17="V","",""))</f>
        <v/>
      </c>
      <c r="M17" s="18" t="str">
        <f>IF($W17="L",IF(INDEX(Leases!$AA$5:$AA$34,$X17)="","",INDEX(Leases!$AA$5:$AA$34,$X17)),IF($W17="V","",""))</f>
        <v/>
      </c>
      <c r="N17" s="19" t="str">
        <f>IF($W17="L",IF(INDEX(Leases!$AB$5:$AB$34,$X17)="","",INDEX(Leases!$AB$5:$AB$34,$X17)),IF($W17="V","",""))</f>
        <v/>
      </c>
      <c r="O17" s="20" t="str">
        <f>IF($W17="L",IF(INDEX(Leases!$AD$5:$AD$34,$X17)=1,INDEX(Leases!$J$5:$J$34,$X17),""),IF($W17="V","",""))</f>
        <v/>
      </c>
      <c r="P17" s="18" t="str">
        <f>IF($W17="L",IF(INDEX(Leases!$AD$5:$AD$34,$X17)=1,INDEX(Leases!$L$5:$L$34,$X17),""),IF($W17="V","",""))</f>
        <v/>
      </c>
      <c r="Q17" s="19" t="str">
        <f>IF($W17="L",INDEX(Leases!$AE$5:$AE$34,$X17),IF($W17="V","",""))</f>
        <v/>
      </c>
      <c r="R17" s="19" t="str">
        <f>IF($W17="L",INDEX(Leases!$AF$5:$AF$34,$X17),IF($W17="V","",""))</f>
        <v/>
      </c>
      <c r="S17" s="19" t="str">
        <f>IF($W17="L",IF(INDEX(Leases!$AH$5:$AH$34,$X17)="","",INDEX(Leases!$AH$5:$AH$34,$X17)),IF($W17="V","",""))</f>
        <v/>
      </c>
      <c r="T17" s="16" t="str">
        <f>IF($W17="L",TRIM(IF(INDEX(Leases!$AJ$5:$AJ$34,$X17)=1,"Awaiting index: not in rent totals. ","")&amp;IF(INDEX(Leases!$AC$5:$AC$34,$X17)=1,"Rent not started. ","")&amp;IF(INDEX(Leases!$AD$5:$AD$34,$X17)=1,"Abated on the date. ","")&amp;IF(INDEX(Leases!$AG$5:$AG$34,$X17)=1,"Letter of credit expired. ","")),IF($W17="V",IF(INDEX(Units!$H$5:$H$54,$X17)&lt;&gt;"","Vacant. A signed lease starts on the Lease start date.","Vacant."),""))</f>
        <v/>
      </c>
      <c r="U17" s="16" t="str">
        <f>IF($W17="L",IF(INDEX(Leases!$R$5:$R$34,$X17)="","",INDEX(Leases!$R$5:$R$34,$X17)),IF($W17="V",IF(INDEX(Units!$D$5:$D$54,$X17)="","",INDEX(Units!$D$5:$D$54,$X17)),""))</f>
        <v/>
      </c>
      <c r="W17" s="15" t="str">
        <f>IF((ROW()-ROW($A$9))&lt;=$W$7,"L",IF((ROW()-ROW($A$9))&lt;=$W$7+$X$7,"V",""))</f>
        <v/>
      </c>
      <c r="X17" s="15" t="str">
        <f>IF(W17="L",MATCH((ROW()-ROW($A$9)),Leases!$AQ$5:$AQ$34,0),IF(W17="V",MATCH((ROW()-ROW($A$9))-$W$7,Units!$J$5:$J$54,0),""))</f>
        <v/>
      </c>
      <c r="Y17" s="15">
        <f>IF(W17="L",INDEX(Leases!$AI$5:$AI$34,$X17),0)</f>
        <v>0</v>
      </c>
    </row>
    <row r="18">
      <c r="A18" s="15" t="str">
        <f>IF($W18="","",(ROW()-ROW($A$9)))</f>
        <v/>
      </c>
      <c r="B18" s="16" t="str">
        <f>IF($W18="L",IF(INDEX(Leases!$A$5:$A$34,$X18)="","",INDEX(Leases!$A$5:$A$34,$X18)),IF($W18="V","Vacant",""))</f>
        <v/>
      </c>
      <c r="C18" s="16" t="str">
        <f>IF($W18="L",IF(INDEX(Leases!$V$5:$V$34,$X18)="","",INDEX(Leases!$V$5:$V$34,$X18)),IF($W18="V",IF(INDEX(Units!$A$5:$A$54,$X18)="","",INDEX(Units!$A$5:$A$54,$X18)),""))</f>
        <v/>
      </c>
      <c r="D18" s="16" t="str">
        <f>IF($W18="L",IF(INDEX(Leases!$B$5:$B$34,$X18)="","",INDEX(Leases!$B$5:$B$34,$X18)),IF($W18="V","",""))</f>
        <v/>
      </c>
      <c r="E18" s="17" t="str">
        <f>IF($W18="L",INDEX(Leases!$W$5:$W$34,$X18),IF($W18="V",IF(INDEX(Units!$B$5:$B$54,$X18)="","",INDEX(Units!$B$5:$B$54,$X18)),""))</f>
        <v/>
      </c>
      <c r="F18" s="18" t="str">
        <f>IF($W18="L",IF(INDEX(Leases!$C$5:$C$34,$X18)="","",INDEX(Leases!$C$5:$C$34,$X18)),IF($W18="V",IF(INDEX(Units!$H$5:$H$54,$X18)="","",INDEX(Units!$H$5:$H$54,$X18)),""))</f>
        <v/>
      </c>
      <c r="G18" s="18" t="str">
        <f>IF($W18="L",IF(INDEX(Leases!$D$5:$D$34,$X18)="","No end date",INDEX(Leases!$D$5:$D$34,$X18)),IF($W18="V","",""))</f>
        <v/>
      </c>
      <c r="H18" s="18" t="str">
        <f>IF($W18="L",IF(INDEX(Leases!$E$5:$E$34,$X18)="","",INDEX(Leases!$E$5:$E$34,$X18)),IF($W18="V","",""))</f>
        <v/>
      </c>
      <c r="I18" s="19" t="str">
        <f>IF($W18="L",IF(INDEX(Leases!$X$5:$X$34,$X18)="","",INDEX(Leases!$X$5:$X$34,$X18)),IF($W18="V","",""))</f>
        <v/>
      </c>
      <c r="J18" s="19" t="str">
        <f>IF($W18="L",IF(INDEX(Leases!$Z$5:$Z$34,$X18)="","",INDEX(Leases!$Z$5:$Z$34,$X18)),IF($W18="V","",""))</f>
        <v/>
      </c>
      <c r="K18" s="19" t="str">
        <f>IF($W18="L",IF(INDEX(Leases!$Y$5:$Y$34,$X18)="","",INDEX(Leases!$Y$5:$Y$34,$X18)),IF($W18="V","",""))</f>
        <v/>
      </c>
      <c r="L18" s="19" t="str">
        <f>IF($W18="L",IF(INDEX(Leases!$M$5:$M$34,$X18)="","",INDEX(Leases!$M$5:$M$34,$X18)),IF($W18="V","",""))</f>
        <v/>
      </c>
      <c r="M18" s="18" t="str">
        <f>IF($W18="L",IF(INDEX(Leases!$AA$5:$AA$34,$X18)="","",INDEX(Leases!$AA$5:$AA$34,$X18)),IF($W18="V","",""))</f>
        <v/>
      </c>
      <c r="N18" s="19" t="str">
        <f>IF($W18="L",IF(INDEX(Leases!$AB$5:$AB$34,$X18)="","",INDEX(Leases!$AB$5:$AB$34,$X18)),IF($W18="V","",""))</f>
        <v/>
      </c>
      <c r="O18" s="20" t="str">
        <f>IF($W18="L",IF(INDEX(Leases!$AD$5:$AD$34,$X18)=1,INDEX(Leases!$J$5:$J$34,$X18),""),IF($W18="V","",""))</f>
        <v/>
      </c>
      <c r="P18" s="18" t="str">
        <f>IF($W18="L",IF(INDEX(Leases!$AD$5:$AD$34,$X18)=1,INDEX(Leases!$L$5:$L$34,$X18),""),IF($W18="V","",""))</f>
        <v/>
      </c>
      <c r="Q18" s="19" t="str">
        <f>IF($W18="L",INDEX(Leases!$AE$5:$AE$34,$X18),IF($W18="V","",""))</f>
        <v/>
      </c>
      <c r="R18" s="19" t="str">
        <f>IF($W18="L",INDEX(Leases!$AF$5:$AF$34,$X18),IF($W18="V","",""))</f>
        <v/>
      </c>
      <c r="S18" s="19" t="str">
        <f>IF($W18="L",IF(INDEX(Leases!$AH$5:$AH$34,$X18)="","",INDEX(Leases!$AH$5:$AH$34,$X18)),IF($W18="V","",""))</f>
        <v/>
      </c>
      <c r="T18" s="16" t="str">
        <f>IF($W18="L",TRIM(IF(INDEX(Leases!$AJ$5:$AJ$34,$X18)=1,"Awaiting index: not in rent totals. ","")&amp;IF(INDEX(Leases!$AC$5:$AC$34,$X18)=1,"Rent not started. ","")&amp;IF(INDEX(Leases!$AD$5:$AD$34,$X18)=1,"Abated on the date. ","")&amp;IF(INDEX(Leases!$AG$5:$AG$34,$X18)=1,"Letter of credit expired. ","")),IF($W18="V",IF(INDEX(Units!$H$5:$H$54,$X18)&lt;&gt;"","Vacant. A signed lease starts on the Lease start date.","Vacant."),""))</f>
        <v/>
      </c>
      <c r="U18" s="16" t="str">
        <f>IF($W18="L",IF(INDEX(Leases!$R$5:$R$34,$X18)="","",INDEX(Leases!$R$5:$R$34,$X18)),IF($W18="V",IF(INDEX(Units!$D$5:$D$54,$X18)="","",INDEX(Units!$D$5:$D$54,$X18)),""))</f>
        <v/>
      </c>
      <c r="W18" s="15" t="str">
        <f>IF((ROW()-ROW($A$9))&lt;=$W$7,"L",IF((ROW()-ROW($A$9))&lt;=$W$7+$X$7,"V",""))</f>
        <v/>
      </c>
      <c r="X18" s="15" t="str">
        <f>IF(W18="L",MATCH((ROW()-ROW($A$9)),Leases!$AQ$5:$AQ$34,0),IF(W18="V",MATCH((ROW()-ROW($A$9))-$W$7,Units!$J$5:$J$54,0),""))</f>
        <v/>
      </c>
      <c r="Y18" s="15">
        <f>IF(W18="L",INDEX(Leases!$AI$5:$AI$34,$X18),0)</f>
        <v>0</v>
      </c>
    </row>
    <row r="19">
      <c r="A19" s="15" t="str">
        <f>IF($W19="","",(ROW()-ROW($A$9)))</f>
        <v/>
      </c>
      <c r="B19" s="16" t="str">
        <f>IF($W19="L",IF(INDEX(Leases!$A$5:$A$34,$X19)="","",INDEX(Leases!$A$5:$A$34,$X19)),IF($W19="V","Vacant",""))</f>
        <v/>
      </c>
      <c r="C19" s="16" t="str">
        <f>IF($W19="L",IF(INDEX(Leases!$V$5:$V$34,$X19)="","",INDEX(Leases!$V$5:$V$34,$X19)),IF($W19="V",IF(INDEX(Units!$A$5:$A$54,$X19)="","",INDEX(Units!$A$5:$A$54,$X19)),""))</f>
        <v/>
      </c>
      <c r="D19" s="16" t="str">
        <f>IF($W19="L",IF(INDEX(Leases!$B$5:$B$34,$X19)="","",INDEX(Leases!$B$5:$B$34,$X19)),IF($W19="V","",""))</f>
        <v/>
      </c>
      <c r="E19" s="17" t="str">
        <f>IF($W19="L",INDEX(Leases!$W$5:$W$34,$X19),IF($W19="V",IF(INDEX(Units!$B$5:$B$54,$X19)="","",INDEX(Units!$B$5:$B$54,$X19)),""))</f>
        <v/>
      </c>
      <c r="F19" s="18" t="str">
        <f>IF($W19="L",IF(INDEX(Leases!$C$5:$C$34,$X19)="","",INDEX(Leases!$C$5:$C$34,$X19)),IF($W19="V",IF(INDEX(Units!$H$5:$H$54,$X19)="","",INDEX(Units!$H$5:$H$54,$X19)),""))</f>
        <v/>
      </c>
      <c r="G19" s="18" t="str">
        <f>IF($W19="L",IF(INDEX(Leases!$D$5:$D$34,$X19)="","No end date",INDEX(Leases!$D$5:$D$34,$X19)),IF($W19="V","",""))</f>
        <v/>
      </c>
      <c r="H19" s="18" t="str">
        <f>IF($W19="L",IF(INDEX(Leases!$E$5:$E$34,$X19)="","",INDEX(Leases!$E$5:$E$34,$X19)),IF($W19="V","",""))</f>
        <v/>
      </c>
      <c r="I19" s="19" t="str">
        <f>IF($W19="L",IF(INDEX(Leases!$X$5:$X$34,$X19)="","",INDEX(Leases!$X$5:$X$34,$X19)),IF($W19="V","",""))</f>
        <v/>
      </c>
      <c r="J19" s="19" t="str">
        <f>IF($W19="L",IF(INDEX(Leases!$Z$5:$Z$34,$X19)="","",INDEX(Leases!$Z$5:$Z$34,$X19)),IF($W19="V","",""))</f>
        <v/>
      </c>
      <c r="K19" s="19" t="str">
        <f>IF($W19="L",IF(INDEX(Leases!$Y$5:$Y$34,$X19)="","",INDEX(Leases!$Y$5:$Y$34,$X19)),IF($W19="V","",""))</f>
        <v/>
      </c>
      <c r="L19" s="19" t="str">
        <f>IF($W19="L",IF(INDEX(Leases!$M$5:$M$34,$X19)="","",INDEX(Leases!$M$5:$M$34,$X19)),IF($W19="V","",""))</f>
        <v/>
      </c>
      <c r="M19" s="18" t="str">
        <f>IF($W19="L",IF(INDEX(Leases!$AA$5:$AA$34,$X19)="","",INDEX(Leases!$AA$5:$AA$34,$X19)),IF($W19="V","",""))</f>
        <v/>
      </c>
      <c r="N19" s="19" t="str">
        <f>IF($W19="L",IF(INDEX(Leases!$AB$5:$AB$34,$X19)="","",INDEX(Leases!$AB$5:$AB$34,$X19)),IF($W19="V","",""))</f>
        <v/>
      </c>
      <c r="O19" s="20" t="str">
        <f>IF($W19="L",IF(INDEX(Leases!$AD$5:$AD$34,$X19)=1,INDEX(Leases!$J$5:$J$34,$X19),""),IF($W19="V","",""))</f>
        <v/>
      </c>
      <c r="P19" s="18" t="str">
        <f>IF($W19="L",IF(INDEX(Leases!$AD$5:$AD$34,$X19)=1,INDEX(Leases!$L$5:$L$34,$X19),""),IF($W19="V","",""))</f>
        <v/>
      </c>
      <c r="Q19" s="19" t="str">
        <f>IF($W19="L",INDEX(Leases!$AE$5:$AE$34,$X19),IF($W19="V","",""))</f>
        <v/>
      </c>
      <c r="R19" s="19" t="str">
        <f>IF($W19="L",INDEX(Leases!$AF$5:$AF$34,$X19),IF($W19="V","",""))</f>
        <v/>
      </c>
      <c r="S19" s="19" t="str">
        <f>IF($W19="L",IF(INDEX(Leases!$AH$5:$AH$34,$X19)="","",INDEX(Leases!$AH$5:$AH$34,$X19)),IF($W19="V","",""))</f>
        <v/>
      </c>
      <c r="T19" s="16" t="str">
        <f>IF($W19="L",TRIM(IF(INDEX(Leases!$AJ$5:$AJ$34,$X19)=1,"Awaiting index: not in rent totals. ","")&amp;IF(INDEX(Leases!$AC$5:$AC$34,$X19)=1,"Rent not started. ","")&amp;IF(INDEX(Leases!$AD$5:$AD$34,$X19)=1,"Abated on the date. ","")&amp;IF(INDEX(Leases!$AG$5:$AG$34,$X19)=1,"Letter of credit expired. ","")),IF($W19="V",IF(INDEX(Units!$H$5:$H$54,$X19)&lt;&gt;"","Vacant. A signed lease starts on the Lease start date.","Vacant."),""))</f>
        <v/>
      </c>
      <c r="U19" s="16" t="str">
        <f>IF($W19="L",IF(INDEX(Leases!$R$5:$R$34,$X19)="","",INDEX(Leases!$R$5:$R$34,$X19)),IF($W19="V",IF(INDEX(Units!$D$5:$D$54,$X19)="","",INDEX(Units!$D$5:$D$54,$X19)),""))</f>
        <v/>
      </c>
      <c r="W19" s="15" t="str">
        <f>IF((ROW()-ROW($A$9))&lt;=$W$7,"L",IF((ROW()-ROW($A$9))&lt;=$W$7+$X$7,"V",""))</f>
        <v/>
      </c>
      <c r="X19" s="15" t="str">
        <f>IF(W19="L",MATCH((ROW()-ROW($A$9)),Leases!$AQ$5:$AQ$34,0),IF(W19="V",MATCH((ROW()-ROW($A$9))-$W$7,Units!$J$5:$J$54,0),""))</f>
        <v/>
      </c>
      <c r="Y19" s="15">
        <f>IF(W19="L",INDEX(Leases!$AI$5:$AI$34,$X19),0)</f>
        <v>0</v>
      </c>
    </row>
    <row r="20">
      <c r="A20" s="15" t="str">
        <f>IF($W20="","",(ROW()-ROW($A$9)))</f>
        <v/>
      </c>
      <c r="B20" s="16" t="str">
        <f>IF($W20="L",IF(INDEX(Leases!$A$5:$A$34,$X20)="","",INDEX(Leases!$A$5:$A$34,$X20)),IF($W20="V","Vacant",""))</f>
        <v/>
      </c>
      <c r="C20" s="16" t="str">
        <f>IF($W20="L",IF(INDEX(Leases!$V$5:$V$34,$X20)="","",INDEX(Leases!$V$5:$V$34,$X20)),IF($W20="V",IF(INDEX(Units!$A$5:$A$54,$X20)="","",INDEX(Units!$A$5:$A$54,$X20)),""))</f>
        <v/>
      </c>
      <c r="D20" s="16" t="str">
        <f>IF($W20="L",IF(INDEX(Leases!$B$5:$B$34,$X20)="","",INDEX(Leases!$B$5:$B$34,$X20)),IF($W20="V","",""))</f>
        <v/>
      </c>
      <c r="E20" s="17" t="str">
        <f>IF($W20="L",INDEX(Leases!$W$5:$W$34,$X20),IF($W20="V",IF(INDEX(Units!$B$5:$B$54,$X20)="","",INDEX(Units!$B$5:$B$54,$X20)),""))</f>
        <v/>
      </c>
      <c r="F20" s="18" t="str">
        <f>IF($W20="L",IF(INDEX(Leases!$C$5:$C$34,$X20)="","",INDEX(Leases!$C$5:$C$34,$X20)),IF($W20="V",IF(INDEX(Units!$H$5:$H$54,$X20)="","",INDEX(Units!$H$5:$H$54,$X20)),""))</f>
        <v/>
      </c>
      <c r="G20" s="18" t="str">
        <f>IF($W20="L",IF(INDEX(Leases!$D$5:$D$34,$X20)="","No end date",INDEX(Leases!$D$5:$D$34,$X20)),IF($W20="V","",""))</f>
        <v/>
      </c>
      <c r="H20" s="18" t="str">
        <f>IF($W20="L",IF(INDEX(Leases!$E$5:$E$34,$X20)="","",INDEX(Leases!$E$5:$E$34,$X20)),IF($W20="V","",""))</f>
        <v/>
      </c>
      <c r="I20" s="19" t="str">
        <f>IF($W20="L",IF(INDEX(Leases!$X$5:$X$34,$X20)="","",INDEX(Leases!$X$5:$X$34,$X20)),IF($W20="V","",""))</f>
        <v/>
      </c>
      <c r="J20" s="19" t="str">
        <f>IF($W20="L",IF(INDEX(Leases!$Z$5:$Z$34,$X20)="","",INDEX(Leases!$Z$5:$Z$34,$X20)),IF($W20="V","",""))</f>
        <v/>
      </c>
      <c r="K20" s="19" t="str">
        <f>IF($W20="L",IF(INDEX(Leases!$Y$5:$Y$34,$X20)="","",INDEX(Leases!$Y$5:$Y$34,$X20)),IF($W20="V","",""))</f>
        <v/>
      </c>
      <c r="L20" s="19" t="str">
        <f>IF($W20="L",IF(INDEX(Leases!$M$5:$M$34,$X20)="","",INDEX(Leases!$M$5:$M$34,$X20)),IF($W20="V","",""))</f>
        <v/>
      </c>
      <c r="M20" s="18" t="str">
        <f>IF($W20="L",IF(INDEX(Leases!$AA$5:$AA$34,$X20)="","",INDEX(Leases!$AA$5:$AA$34,$X20)),IF($W20="V","",""))</f>
        <v/>
      </c>
      <c r="N20" s="19" t="str">
        <f>IF($W20="L",IF(INDEX(Leases!$AB$5:$AB$34,$X20)="","",INDEX(Leases!$AB$5:$AB$34,$X20)),IF($W20="V","",""))</f>
        <v/>
      </c>
      <c r="O20" s="20" t="str">
        <f>IF($W20="L",IF(INDEX(Leases!$AD$5:$AD$34,$X20)=1,INDEX(Leases!$J$5:$J$34,$X20),""),IF($W20="V","",""))</f>
        <v/>
      </c>
      <c r="P20" s="18" t="str">
        <f>IF($W20="L",IF(INDEX(Leases!$AD$5:$AD$34,$X20)=1,INDEX(Leases!$L$5:$L$34,$X20),""),IF($W20="V","",""))</f>
        <v/>
      </c>
      <c r="Q20" s="19" t="str">
        <f>IF($W20="L",INDEX(Leases!$AE$5:$AE$34,$X20),IF($W20="V","",""))</f>
        <v/>
      </c>
      <c r="R20" s="19" t="str">
        <f>IF($W20="L",INDEX(Leases!$AF$5:$AF$34,$X20),IF($W20="V","",""))</f>
        <v/>
      </c>
      <c r="S20" s="19" t="str">
        <f>IF($W20="L",IF(INDEX(Leases!$AH$5:$AH$34,$X20)="","",INDEX(Leases!$AH$5:$AH$34,$X20)),IF($W20="V","",""))</f>
        <v/>
      </c>
      <c r="T20" s="16" t="str">
        <f>IF($W20="L",TRIM(IF(INDEX(Leases!$AJ$5:$AJ$34,$X20)=1,"Awaiting index: not in rent totals. ","")&amp;IF(INDEX(Leases!$AC$5:$AC$34,$X20)=1,"Rent not started. ","")&amp;IF(INDEX(Leases!$AD$5:$AD$34,$X20)=1,"Abated on the date. ","")&amp;IF(INDEX(Leases!$AG$5:$AG$34,$X20)=1,"Letter of credit expired. ","")),IF($W20="V",IF(INDEX(Units!$H$5:$H$54,$X20)&lt;&gt;"","Vacant. A signed lease starts on the Lease start date.","Vacant."),""))</f>
        <v/>
      </c>
      <c r="U20" s="16" t="str">
        <f>IF($W20="L",IF(INDEX(Leases!$R$5:$R$34,$X20)="","",INDEX(Leases!$R$5:$R$34,$X20)),IF($W20="V",IF(INDEX(Units!$D$5:$D$54,$X20)="","",INDEX(Units!$D$5:$D$54,$X20)),""))</f>
        <v/>
      </c>
      <c r="W20" s="15" t="str">
        <f>IF((ROW()-ROW($A$9))&lt;=$W$7,"L",IF((ROW()-ROW($A$9))&lt;=$W$7+$X$7,"V",""))</f>
        <v/>
      </c>
      <c r="X20" s="15" t="str">
        <f>IF(W20="L",MATCH((ROW()-ROW($A$9)),Leases!$AQ$5:$AQ$34,0),IF(W20="V",MATCH((ROW()-ROW($A$9))-$W$7,Units!$J$5:$J$54,0),""))</f>
        <v/>
      </c>
      <c r="Y20" s="15">
        <f>IF(W20="L",INDEX(Leases!$AI$5:$AI$34,$X20),0)</f>
        <v>0</v>
      </c>
    </row>
    <row r="21">
      <c r="A21" s="15" t="str">
        <f>IF($W21="","",(ROW()-ROW($A$9)))</f>
        <v/>
      </c>
      <c r="B21" s="16" t="str">
        <f>IF($W21="L",IF(INDEX(Leases!$A$5:$A$34,$X21)="","",INDEX(Leases!$A$5:$A$34,$X21)),IF($W21="V","Vacant",""))</f>
        <v/>
      </c>
      <c r="C21" s="16" t="str">
        <f>IF($W21="L",IF(INDEX(Leases!$V$5:$V$34,$X21)="","",INDEX(Leases!$V$5:$V$34,$X21)),IF($W21="V",IF(INDEX(Units!$A$5:$A$54,$X21)="","",INDEX(Units!$A$5:$A$54,$X21)),""))</f>
        <v/>
      </c>
      <c r="D21" s="16" t="str">
        <f>IF($W21="L",IF(INDEX(Leases!$B$5:$B$34,$X21)="","",INDEX(Leases!$B$5:$B$34,$X21)),IF($W21="V","",""))</f>
        <v/>
      </c>
      <c r="E21" s="17" t="str">
        <f>IF($W21="L",INDEX(Leases!$W$5:$W$34,$X21),IF($W21="V",IF(INDEX(Units!$B$5:$B$54,$X21)="","",INDEX(Units!$B$5:$B$54,$X21)),""))</f>
        <v/>
      </c>
      <c r="F21" s="18" t="str">
        <f>IF($W21="L",IF(INDEX(Leases!$C$5:$C$34,$X21)="","",INDEX(Leases!$C$5:$C$34,$X21)),IF($W21="V",IF(INDEX(Units!$H$5:$H$54,$X21)="","",INDEX(Units!$H$5:$H$54,$X21)),""))</f>
        <v/>
      </c>
      <c r="G21" s="18" t="str">
        <f>IF($W21="L",IF(INDEX(Leases!$D$5:$D$34,$X21)="","No end date",INDEX(Leases!$D$5:$D$34,$X21)),IF($W21="V","",""))</f>
        <v/>
      </c>
      <c r="H21" s="18" t="str">
        <f>IF($W21="L",IF(INDEX(Leases!$E$5:$E$34,$X21)="","",INDEX(Leases!$E$5:$E$34,$X21)),IF($W21="V","",""))</f>
        <v/>
      </c>
      <c r="I21" s="19" t="str">
        <f>IF($W21="L",IF(INDEX(Leases!$X$5:$X$34,$X21)="","",INDEX(Leases!$X$5:$X$34,$X21)),IF($W21="V","",""))</f>
        <v/>
      </c>
      <c r="J21" s="19" t="str">
        <f>IF($W21="L",IF(INDEX(Leases!$Z$5:$Z$34,$X21)="","",INDEX(Leases!$Z$5:$Z$34,$X21)),IF($W21="V","",""))</f>
        <v/>
      </c>
      <c r="K21" s="19" t="str">
        <f>IF($W21="L",IF(INDEX(Leases!$Y$5:$Y$34,$X21)="","",INDEX(Leases!$Y$5:$Y$34,$X21)),IF($W21="V","",""))</f>
        <v/>
      </c>
      <c r="L21" s="19" t="str">
        <f>IF($W21="L",IF(INDEX(Leases!$M$5:$M$34,$X21)="","",INDEX(Leases!$M$5:$M$34,$X21)),IF($W21="V","",""))</f>
        <v/>
      </c>
      <c r="M21" s="18" t="str">
        <f>IF($W21="L",IF(INDEX(Leases!$AA$5:$AA$34,$X21)="","",INDEX(Leases!$AA$5:$AA$34,$X21)),IF($W21="V","",""))</f>
        <v/>
      </c>
      <c r="N21" s="19" t="str">
        <f>IF($W21="L",IF(INDEX(Leases!$AB$5:$AB$34,$X21)="","",INDEX(Leases!$AB$5:$AB$34,$X21)),IF($W21="V","",""))</f>
        <v/>
      </c>
      <c r="O21" s="20" t="str">
        <f>IF($W21="L",IF(INDEX(Leases!$AD$5:$AD$34,$X21)=1,INDEX(Leases!$J$5:$J$34,$X21),""),IF($W21="V","",""))</f>
        <v/>
      </c>
      <c r="P21" s="18" t="str">
        <f>IF($W21="L",IF(INDEX(Leases!$AD$5:$AD$34,$X21)=1,INDEX(Leases!$L$5:$L$34,$X21),""),IF($W21="V","",""))</f>
        <v/>
      </c>
      <c r="Q21" s="19" t="str">
        <f>IF($W21="L",INDEX(Leases!$AE$5:$AE$34,$X21),IF($W21="V","",""))</f>
        <v/>
      </c>
      <c r="R21" s="19" t="str">
        <f>IF($W21="L",INDEX(Leases!$AF$5:$AF$34,$X21),IF($W21="V","",""))</f>
        <v/>
      </c>
      <c r="S21" s="19" t="str">
        <f>IF($W21="L",IF(INDEX(Leases!$AH$5:$AH$34,$X21)="","",INDEX(Leases!$AH$5:$AH$34,$X21)),IF($W21="V","",""))</f>
        <v/>
      </c>
      <c r="T21" s="16" t="str">
        <f>IF($W21="L",TRIM(IF(INDEX(Leases!$AJ$5:$AJ$34,$X21)=1,"Awaiting index: not in rent totals. ","")&amp;IF(INDEX(Leases!$AC$5:$AC$34,$X21)=1,"Rent not started. ","")&amp;IF(INDEX(Leases!$AD$5:$AD$34,$X21)=1,"Abated on the date. ","")&amp;IF(INDEX(Leases!$AG$5:$AG$34,$X21)=1,"Letter of credit expired. ","")),IF($W21="V",IF(INDEX(Units!$H$5:$H$54,$X21)&lt;&gt;"","Vacant. A signed lease starts on the Lease start date.","Vacant."),""))</f>
        <v/>
      </c>
      <c r="U21" s="16" t="str">
        <f>IF($W21="L",IF(INDEX(Leases!$R$5:$R$34,$X21)="","",INDEX(Leases!$R$5:$R$34,$X21)),IF($W21="V",IF(INDEX(Units!$D$5:$D$54,$X21)="","",INDEX(Units!$D$5:$D$54,$X21)),""))</f>
        <v/>
      </c>
      <c r="W21" s="15" t="str">
        <f>IF((ROW()-ROW($A$9))&lt;=$W$7,"L",IF((ROW()-ROW($A$9))&lt;=$W$7+$X$7,"V",""))</f>
        <v/>
      </c>
      <c r="X21" s="15" t="str">
        <f>IF(W21="L",MATCH((ROW()-ROW($A$9)),Leases!$AQ$5:$AQ$34,0),IF(W21="V",MATCH((ROW()-ROW($A$9))-$W$7,Units!$J$5:$J$54,0),""))</f>
        <v/>
      </c>
      <c r="Y21" s="15">
        <f>IF(W21="L",INDEX(Leases!$AI$5:$AI$34,$X21),0)</f>
        <v>0</v>
      </c>
    </row>
    <row r="22">
      <c r="A22" s="15" t="str">
        <f>IF($W22="","",(ROW()-ROW($A$9)))</f>
        <v/>
      </c>
      <c r="B22" s="16" t="str">
        <f>IF($W22="L",IF(INDEX(Leases!$A$5:$A$34,$X22)="","",INDEX(Leases!$A$5:$A$34,$X22)),IF($W22="V","Vacant",""))</f>
        <v/>
      </c>
      <c r="C22" s="16" t="str">
        <f>IF($W22="L",IF(INDEX(Leases!$V$5:$V$34,$X22)="","",INDEX(Leases!$V$5:$V$34,$X22)),IF($W22="V",IF(INDEX(Units!$A$5:$A$54,$X22)="","",INDEX(Units!$A$5:$A$54,$X22)),""))</f>
        <v/>
      </c>
      <c r="D22" s="16" t="str">
        <f>IF($W22="L",IF(INDEX(Leases!$B$5:$B$34,$X22)="","",INDEX(Leases!$B$5:$B$34,$X22)),IF($W22="V","",""))</f>
        <v/>
      </c>
      <c r="E22" s="17" t="str">
        <f>IF($W22="L",INDEX(Leases!$W$5:$W$34,$X22),IF($W22="V",IF(INDEX(Units!$B$5:$B$54,$X22)="","",INDEX(Units!$B$5:$B$54,$X22)),""))</f>
        <v/>
      </c>
      <c r="F22" s="18" t="str">
        <f>IF($W22="L",IF(INDEX(Leases!$C$5:$C$34,$X22)="","",INDEX(Leases!$C$5:$C$34,$X22)),IF($W22="V",IF(INDEX(Units!$H$5:$H$54,$X22)="","",INDEX(Units!$H$5:$H$54,$X22)),""))</f>
        <v/>
      </c>
      <c r="G22" s="18" t="str">
        <f>IF($W22="L",IF(INDEX(Leases!$D$5:$D$34,$X22)="","No end date",INDEX(Leases!$D$5:$D$34,$X22)),IF($W22="V","",""))</f>
        <v/>
      </c>
      <c r="H22" s="18" t="str">
        <f>IF($W22="L",IF(INDEX(Leases!$E$5:$E$34,$X22)="","",INDEX(Leases!$E$5:$E$34,$X22)),IF($W22="V","",""))</f>
        <v/>
      </c>
      <c r="I22" s="19" t="str">
        <f>IF($W22="L",IF(INDEX(Leases!$X$5:$X$34,$X22)="","",INDEX(Leases!$X$5:$X$34,$X22)),IF($W22="V","",""))</f>
        <v/>
      </c>
      <c r="J22" s="19" t="str">
        <f>IF($W22="L",IF(INDEX(Leases!$Z$5:$Z$34,$X22)="","",INDEX(Leases!$Z$5:$Z$34,$X22)),IF($W22="V","",""))</f>
        <v/>
      </c>
      <c r="K22" s="19" t="str">
        <f>IF($W22="L",IF(INDEX(Leases!$Y$5:$Y$34,$X22)="","",INDEX(Leases!$Y$5:$Y$34,$X22)),IF($W22="V","",""))</f>
        <v/>
      </c>
      <c r="L22" s="19" t="str">
        <f>IF($W22="L",IF(INDEX(Leases!$M$5:$M$34,$X22)="","",INDEX(Leases!$M$5:$M$34,$X22)),IF($W22="V","",""))</f>
        <v/>
      </c>
      <c r="M22" s="18" t="str">
        <f>IF($W22="L",IF(INDEX(Leases!$AA$5:$AA$34,$X22)="","",INDEX(Leases!$AA$5:$AA$34,$X22)),IF($W22="V","",""))</f>
        <v/>
      </c>
      <c r="N22" s="19" t="str">
        <f>IF($W22="L",IF(INDEX(Leases!$AB$5:$AB$34,$X22)="","",INDEX(Leases!$AB$5:$AB$34,$X22)),IF($W22="V","",""))</f>
        <v/>
      </c>
      <c r="O22" s="20" t="str">
        <f>IF($W22="L",IF(INDEX(Leases!$AD$5:$AD$34,$X22)=1,INDEX(Leases!$J$5:$J$34,$X22),""),IF($W22="V","",""))</f>
        <v/>
      </c>
      <c r="P22" s="18" t="str">
        <f>IF($W22="L",IF(INDEX(Leases!$AD$5:$AD$34,$X22)=1,INDEX(Leases!$L$5:$L$34,$X22),""),IF($W22="V","",""))</f>
        <v/>
      </c>
      <c r="Q22" s="19" t="str">
        <f>IF($W22="L",INDEX(Leases!$AE$5:$AE$34,$X22),IF($W22="V","",""))</f>
        <v/>
      </c>
      <c r="R22" s="19" t="str">
        <f>IF($W22="L",INDEX(Leases!$AF$5:$AF$34,$X22),IF($W22="V","",""))</f>
        <v/>
      </c>
      <c r="S22" s="19" t="str">
        <f>IF($W22="L",IF(INDEX(Leases!$AH$5:$AH$34,$X22)="","",INDEX(Leases!$AH$5:$AH$34,$X22)),IF($W22="V","",""))</f>
        <v/>
      </c>
      <c r="T22" s="16" t="str">
        <f>IF($W22="L",TRIM(IF(INDEX(Leases!$AJ$5:$AJ$34,$X22)=1,"Awaiting index: not in rent totals. ","")&amp;IF(INDEX(Leases!$AC$5:$AC$34,$X22)=1,"Rent not started. ","")&amp;IF(INDEX(Leases!$AD$5:$AD$34,$X22)=1,"Abated on the date. ","")&amp;IF(INDEX(Leases!$AG$5:$AG$34,$X22)=1,"Letter of credit expired. ","")),IF($W22="V",IF(INDEX(Units!$H$5:$H$54,$X22)&lt;&gt;"","Vacant. A signed lease starts on the Lease start date.","Vacant."),""))</f>
        <v/>
      </c>
      <c r="U22" s="16" t="str">
        <f>IF($W22="L",IF(INDEX(Leases!$R$5:$R$34,$X22)="","",INDEX(Leases!$R$5:$R$34,$X22)),IF($W22="V",IF(INDEX(Units!$D$5:$D$54,$X22)="","",INDEX(Units!$D$5:$D$54,$X22)),""))</f>
        <v/>
      </c>
      <c r="W22" s="15" t="str">
        <f>IF((ROW()-ROW($A$9))&lt;=$W$7,"L",IF((ROW()-ROW($A$9))&lt;=$W$7+$X$7,"V",""))</f>
        <v/>
      </c>
      <c r="X22" s="15" t="str">
        <f>IF(W22="L",MATCH((ROW()-ROW($A$9)),Leases!$AQ$5:$AQ$34,0),IF(W22="V",MATCH((ROW()-ROW($A$9))-$W$7,Units!$J$5:$J$54,0),""))</f>
        <v/>
      </c>
      <c r="Y22" s="15">
        <f>IF(W22="L",INDEX(Leases!$AI$5:$AI$34,$X22),0)</f>
        <v>0</v>
      </c>
    </row>
    <row r="23">
      <c r="A23" s="15" t="str">
        <f>IF($W23="","",(ROW()-ROW($A$9)))</f>
        <v/>
      </c>
      <c r="B23" s="16" t="str">
        <f>IF($W23="L",IF(INDEX(Leases!$A$5:$A$34,$X23)="","",INDEX(Leases!$A$5:$A$34,$X23)),IF($W23="V","Vacant",""))</f>
        <v/>
      </c>
      <c r="C23" s="16" t="str">
        <f>IF($W23="L",IF(INDEX(Leases!$V$5:$V$34,$X23)="","",INDEX(Leases!$V$5:$V$34,$X23)),IF($W23="V",IF(INDEX(Units!$A$5:$A$54,$X23)="","",INDEX(Units!$A$5:$A$54,$X23)),""))</f>
        <v/>
      </c>
      <c r="D23" s="16" t="str">
        <f>IF($W23="L",IF(INDEX(Leases!$B$5:$B$34,$X23)="","",INDEX(Leases!$B$5:$B$34,$X23)),IF($W23="V","",""))</f>
        <v/>
      </c>
      <c r="E23" s="17" t="str">
        <f>IF($W23="L",INDEX(Leases!$W$5:$W$34,$X23),IF($W23="V",IF(INDEX(Units!$B$5:$B$54,$X23)="","",INDEX(Units!$B$5:$B$54,$X23)),""))</f>
        <v/>
      </c>
      <c r="F23" s="18" t="str">
        <f>IF($W23="L",IF(INDEX(Leases!$C$5:$C$34,$X23)="","",INDEX(Leases!$C$5:$C$34,$X23)),IF($W23="V",IF(INDEX(Units!$H$5:$H$54,$X23)="","",INDEX(Units!$H$5:$H$54,$X23)),""))</f>
        <v/>
      </c>
      <c r="G23" s="18" t="str">
        <f>IF($W23="L",IF(INDEX(Leases!$D$5:$D$34,$X23)="","No end date",INDEX(Leases!$D$5:$D$34,$X23)),IF($W23="V","",""))</f>
        <v/>
      </c>
      <c r="H23" s="18" t="str">
        <f>IF($W23="L",IF(INDEX(Leases!$E$5:$E$34,$X23)="","",INDEX(Leases!$E$5:$E$34,$X23)),IF($W23="V","",""))</f>
        <v/>
      </c>
      <c r="I23" s="19" t="str">
        <f>IF($W23="L",IF(INDEX(Leases!$X$5:$X$34,$X23)="","",INDEX(Leases!$X$5:$X$34,$X23)),IF($W23="V","",""))</f>
        <v/>
      </c>
      <c r="J23" s="19" t="str">
        <f>IF($W23="L",IF(INDEX(Leases!$Z$5:$Z$34,$X23)="","",INDEX(Leases!$Z$5:$Z$34,$X23)),IF($W23="V","",""))</f>
        <v/>
      </c>
      <c r="K23" s="19" t="str">
        <f>IF($W23="L",IF(INDEX(Leases!$Y$5:$Y$34,$X23)="","",INDEX(Leases!$Y$5:$Y$34,$X23)),IF($W23="V","",""))</f>
        <v/>
      </c>
      <c r="L23" s="19" t="str">
        <f>IF($W23="L",IF(INDEX(Leases!$M$5:$M$34,$X23)="","",INDEX(Leases!$M$5:$M$34,$X23)),IF($W23="V","",""))</f>
        <v/>
      </c>
      <c r="M23" s="18" t="str">
        <f>IF($W23="L",IF(INDEX(Leases!$AA$5:$AA$34,$X23)="","",INDEX(Leases!$AA$5:$AA$34,$X23)),IF($W23="V","",""))</f>
        <v/>
      </c>
      <c r="N23" s="19" t="str">
        <f>IF($W23="L",IF(INDEX(Leases!$AB$5:$AB$34,$X23)="","",INDEX(Leases!$AB$5:$AB$34,$X23)),IF($W23="V","",""))</f>
        <v/>
      </c>
      <c r="O23" s="20" t="str">
        <f>IF($W23="L",IF(INDEX(Leases!$AD$5:$AD$34,$X23)=1,INDEX(Leases!$J$5:$J$34,$X23),""),IF($W23="V","",""))</f>
        <v/>
      </c>
      <c r="P23" s="18" t="str">
        <f>IF($W23="L",IF(INDEX(Leases!$AD$5:$AD$34,$X23)=1,INDEX(Leases!$L$5:$L$34,$X23),""),IF($W23="V","",""))</f>
        <v/>
      </c>
      <c r="Q23" s="19" t="str">
        <f>IF($W23="L",INDEX(Leases!$AE$5:$AE$34,$X23),IF($W23="V","",""))</f>
        <v/>
      </c>
      <c r="R23" s="19" t="str">
        <f>IF($W23="L",INDEX(Leases!$AF$5:$AF$34,$X23),IF($W23="V","",""))</f>
        <v/>
      </c>
      <c r="S23" s="19" t="str">
        <f>IF($W23="L",IF(INDEX(Leases!$AH$5:$AH$34,$X23)="","",INDEX(Leases!$AH$5:$AH$34,$X23)),IF($W23="V","",""))</f>
        <v/>
      </c>
      <c r="T23" s="16" t="str">
        <f>IF($W23="L",TRIM(IF(INDEX(Leases!$AJ$5:$AJ$34,$X23)=1,"Awaiting index: not in rent totals. ","")&amp;IF(INDEX(Leases!$AC$5:$AC$34,$X23)=1,"Rent not started. ","")&amp;IF(INDEX(Leases!$AD$5:$AD$34,$X23)=1,"Abated on the date. ","")&amp;IF(INDEX(Leases!$AG$5:$AG$34,$X23)=1,"Letter of credit expired. ","")),IF($W23="V",IF(INDEX(Units!$H$5:$H$54,$X23)&lt;&gt;"","Vacant. A signed lease starts on the Lease start date.","Vacant."),""))</f>
        <v/>
      </c>
      <c r="U23" s="16" t="str">
        <f>IF($W23="L",IF(INDEX(Leases!$R$5:$R$34,$X23)="","",INDEX(Leases!$R$5:$R$34,$X23)),IF($W23="V",IF(INDEX(Units!$D$5:$D$54,$X23)="","",INDEX(Units!$D$5:$D$54,$X23)),""))</f>
        <v/>
      </c>
      <c r="W23" s="15" t="str">
        <f>IF((ROW()-ROW($A$9))&lt;=$W$7,"L",IF((ROW()-ROW($A$9))&lt;=$W$7+$X$7,"V",""))</f>
        <v/>
      </c>
      <c r="X23" s="15" t="str">
        <f>IF(W23="L",MATCH((ROW()-ROW($A$9)),Leases!$AQ$5:$AQ$34,0),IF(W23="V",MATCH((ROW()-ROW($A$9))-$W$7,Units!$J$5:$J$54,0),""))</f>
        <v/>
      </c>
      <c r="Y23" s="15">
        <f>IF(W23="L",INDEX(Leases!$AI$5:$AI$34,$X23),0)</f>
        <v>0</v>
      </c>
    </row>
    <row r="24">
      <c r="A24" s="15" t="str">
        <f>IF($W24="","",(ROW()-ROW($A$9)))</f>
        <v/>
      </c>
      <c r="B24" s="16" t="str">
        <f>IF($W24="L",IF(INDEX(Leases!$A$5:$A$34,$X24)="","",INDEX(Leases!$A$5:$A$34,$X24)),IF($W24="V","Vacant",""))</f>
        <v/>
      </c>
      <c r="C24" s="16" t="str">
        <f>IF($W24="L",IF(INDEX(Leases!$V$5:$V$34,$X24)="","",INDEX(Leases!$V$5:$V$34,$X24)),IF($W24="V",IF(INDEX(Units!$A$5:$A$54,$X24)="","",INDEX(Units!$A$5:$A$54,$X24)),""))</f>
        <v/>
      </c>
      <c r="D24" s="16" t="str">
        <f>IF($W24="L",IF(INDEX(Leases!$B$5:$B$34,$X24)="","",INDEX(Leases!$B$5:$B$34,$X24)),IF($W24="V","",""))</f>
        <v/>
      </c>
      <c r="E24" s="17" t="str">
        <f>IF($W24="L",INDEX(Leases!$W$5:$W$34,$X24),IF($W24="V",IF(INDEX(Units!$B$5:$B$54,$X24)="","",INDEX(Units!$B$5:$B$54,$X24)),""))</f>
        <v/>
      </c>
      <c r="F24" s="18" t="str">
        <f>IF($W24="L",IF(INDEX(Leases!$C$5:$C$34,$X24)="","",INDEX(Leases!$C$5:$C$34,$X24)),IF($W24="V",IF(INDEX(Units!$H$5:$H$54,$X24)="","",INDEX(Units!$H$5:$H$54,$X24)),""))</f>
        <v/>
      </c>
      <c r="G24" s="18" t="str">
        <f>IF($W24="L",IF(INDEX(Leases!$D$5:$D$34,$X24)="","No end date",INDEX(Leases!$D$5:$D$34,$X24)),IF($W24="V","",""))</f>
        <v/>
      </c>
      <c r="H24" s="18" t="str">
        <f>IF($W24="L",IF(INDEX(Leases!$E$5:$E$34,$X24)="","",INDEX(Leases!$E$5:$E$34,$X24)),IF($W24="V","",""))</f>
        <v/>
      </c>
      <c r="I24" s="19" t="str">
        <f>IF($W24="L",IF(INDEX(Leases!$X$5:$X$34,$X24)="","",INDEX(Leases!$X$5:$X$34,$X24)),IF($W24="V","",""))</f>
        <v/>
      </c>
      <c r="J24" s="19" t="str">
        <f>IF($W24="L",IF(INDEX(Leases!$Z$5:$Z$34,$X24)="","",INDEX(Leases!$Z$5:$Z$34,$X24)),IF($W24="V","",""))</f>
        <v/>
      </c>
      <c r="K24" s="19" t="str">
        <f>IF($W24="L",IF(INDEX(Leases!$Y$5:$Y$34,$X24)="","",INDEX(Leases!$Y$5:$Y$34,$X24)),IF($W24="V","",""))</f>
        <v/>
      </c>
      <c r="L24" s="19" t="str">
        <f>IF($W24="L",IF(INDEX(Leases!$M$5:$M$34,$X24)="","",INDEX(Leases!$M$5:$M$34,$X24)),IF($W24="V","",""))</f>
        <v/>
      </c>
      <c r="M24" s="18" t="str">
        <f>IF($W24="L",IF(INDEX(Leases!$AA$5:$AA$34,$X24)="","",INDEX(Leases!$AA$5:$AA$34,$X24)),IF($W24="V","",""))</f>
        <v/>
      </c>
      <c r="N24" s="19" t="str">
        <f>IF($W24="L",IF(INDEX(Leases!$AB$5:$AB$34,$X24)="","",INDEX(Leases!$AB$5:$AB$34,$X24)),IF($W24="V","",""))</f>
        <v/>
      </c>
      <c r="O24" s="20" t="str">
        <f>IF($W24="L",IF(INDEX(Leases!$AD$5:$AD$34,$X24)=1,INDEX(Leases!$J$5:$J$34,$X24),""),IF($W24="V","",""))</f>
        <v/>
      </c>
      <c r="P24" s="18" t="str">
        <f>IF($W24="L",IF(INDEX(Leases!$AD$5:$AD$34,$X24)=1,INDEX(Leases!$L$5:$L$34,$X24),""),IF($W24="V","",""))</f>
        <v/>
      </c>
      <c r="Q24" s="19" t="str">
        <f>IF($W24="L",INDEX(Leases!$AE$5:$AE$34,$X24),IF($W24="V","",""))</f>
        <v/>
      </c>
      <c r="R24" s="19" t="str">
        <f>IF($W24="L",INDEX(Leases!$AF$5:$AF$34,$X24),IF($W24="V","",""))</f>
        <v/>
      </c>
      <c r="S24" s="19" t="str">
        <f>IF($W24="L",IF(INDEX(Leases!$AH$5:$AH$34,$X24)="","",INDEX(Leases!$AH$5:$AH$34,$X24)),IF($W24="V","",""))</f>
        <v/>
      </c>
      <c r="T24" s="16" t="str">
        <f>IF($W24="L",TRIM(IF(INDEX(Leases!$AJ$5:$AJ$34,$X24)=1,"Awaiting index: not in rent totals. ","")&amp;IF(INDEX(Leases!$AC$5:$AC$34,$X24)=1,"Rent not started. ","")&amp;IF(INDEX(Leases!$AD$5:$AD$34,$X24)=1,"Abated on the date. ","")&amp;IF(INDEX(Leases!$AG$5:$AG$34,$X24)=1,"Letter of credit expired. ","")),IF($W24="V",IF(INDEX(Units!$H$5:$H$54,$X24)&lt;&gt;"","Vacant. A signed lease starts on the Lease start date.","Vacant."),""))</f>
        <v/>
      </c>
      <c r="U24" s="16" t="str">
        <f>IF($W24="L",IF(INDEX(Leases!$R$5:$R$34,$X24)="","",INDEX(Leases!$R$5:$R$34,$X24)),IF($W24="V",IF(INDEX(Units!$D$5:$D$54,$X24)="","",INDEX(Units!$D$5:$D$54,$X24)),""))</f>
        <v/>
      </c>
      <c r="W24" s="15" t="str">
        <f>IF((ROW()-ROW($A$9))&lt;=$W$7,"L",IF((ROW()-ROW($A$9))&lt;=$W$7+$X$7,"V",""))</f>
        <v/>
      </c>
      <c r="X24" s="15" t="str">
        <f>IF(W24="L",MATCH((ROW()-ROW($A$9)),Leases!$AQ$5:$AQ$34,0),IF(W24="V",MATCH((ROW()-ROW($A$9))-$W$7,Units!$J$5:$J$54,0),""))</f>
        <v/>
      </c>
      <c r="Y24" s="15">
        <f>IF(W24="L",INDEX(Leases!$AI$5:$AI$34,$X24),0)</f>
        <v>0</v>
      </c>
    </row>
    <row r="25">
      <c r="A25" s="15" t="str">
        <f>IF($W25="","",(ROW()-ROW($A$9)))</f>
        <v/>
      </c>
      <c r="B25" s="16" t="str">
        <f>IF($W25="L",IF(INDEX(Leases!$A$5:$A$34,$X25)="","",INDEX(Leases!$A$5:$A$34,$X25)),IF($W25="V","Vacant",""))</f>
        <v/>
      </c>
      <c r="C25" s="16" t="str">
        <f>IF($W25="L",IF(INDEX(Leases!$V$5:$V$34,$X25)="","",INDEX(Leases!$V$5:$V$34,$X25)),IF($W25="V",IF(INDEX(Units!$A$5:$A$54,$X25)="","",INDEX(Units!$A$5:$A$54,$X25)),""))</f>
        <v/>
      </c>
      <c r="D25" s="16" t="str">
        <f>IF($W25="L",IF(INDEX(Leases!$B$5:$B$34,$X25)="","",INDEX(Leases!$B$5:$B$34,$X25)),IF($W25="V","",""))</f>
        <v/>
      </c>
      <c r="E25" s="17" t="str">
        <f>IF($W25="L",INDEX(Leases!$W$5:$W$34,$X25),IF($W25="V",IF(INDEX(Units!$B$5:$B$54,$X25)="","",INDEX(Units!$B$5:$B$54,$X25)),""))</f>
        <v/>
      </c>
      <c r="F25" s="18" t="str">
        <f>IF($W25="L",IF(INDEX(Leases!$C$5:$C$34,$X25)="","",INDEX(Leases!$C$5:$C$34,$X25)),IF($W25="V",IF(INDEX(Units!$H$5:$H$54,$X25)="","",INDEX(Units!$H$5:$H$54,$X25)),""))</f>
        <v/>
      </c>
      <c r="G25" s="18" t="str">
        <f>IF($W25="L",IF(INDEX(Leases!$D$5:$D$34,$X25)="","No end date",INDEX(Leases!$D$5:$D$34,$X25)),IF($W25="V","",""))</f>
        <v/>
      </c>
      <c r="H25" s="18" t="str">
        <f>IF($W25="L",IF(INDEX(Leases!$E$5:$E$34,$X25)="","",INDEX(Leases!$E$5:$E$34,$X25)),IF($W25="V","",""))</f>
        <v/>
      </c>
      <c r="I25" s="19" t="str">
        <f>IF($W25="L",IF(INDEX(Leases!$X$5:$X$34,$X25)="","",INDEX(Leases!$X$5:$X$34,$X25)),IF($W25="V","",""))</f>
        <v/>
      </c>
      <c r="J25" s="19" t="str">
        <f>IF($W25="L",IF(INDEX(Leases!$Z$5:$Z$34,$X25)="","",INDEX(Leases!$Z$5:$Z$34,$X25)),IF($W25="V","",""))</f>
        <v/>
      </c>
      <c r="K25" s="19" t="str">
        <f>IF($W25="L",IF(INDEX(Leases!$Y$5:$Y$34,$X25)="","",INDEX(Leases!$Y$5:$Y$34,$X25)),IF($W25="V","",""))</f>
        <v/>
      </c>
      <c r="L25" s="19" t="str">
        <f>IF($W25="L",IF(INDEX(Leases!$M$5:$M$34,$X25)="","",INDEX(Leases!$M$5:$M$34,$X25)),IF($W25="V","",""))</f>
        <v/>
      </c>
      <c r="M25" s="18" t="str">
        <f>IF($W25="L",IF(INDEX(Leases!$AA$5:$AA$34,$X25)="","",INDEX(Leases!$AA$5:$AA$34,$X25)),IF($W25="V","",""))</f>
        <v/>
      </c>
      <c r="N25" s="19" t="str">
        <f>IF($W25="L",IF(INDEX(Leases!$AB$5:$AB$34,$X25)="","",INDEX(Leases!$AB$5:$AB$34,$X25)),IF($W25="V","",""))</f>
        <v/>
      </c>
      <c r="O25" s="20" t="str">
        <f>IF($W25="L",IF(INDEX(Leases!$AD$5:$AD$34,$X25)=1,INDEX(Leases!$J$5:$J$34,$X25),""),IF($W25="V","",""))</f>
        <v/>
      </c>
      <c r="P25" s="18" t="str">
        <f>IF($W25="L",IF(INDEX(Leases!$AD$5:$AD$34,$X25)=1,INDEX(Leases!$L$5:$L$34,$X25),""),IF($W25="V","",""))</f>
        <v/>
      </c>
      <c r="Q25" s="19" t="str">
        <f>IF($W25="L",INDEX(Leases!$AE$5:$AE$34,$X25),IF($W25="V","",""))</f>
        <v/>
      </c>
      <c r="R25" s="19" t="str">
        <f>IF($W25="L",INDEX(Leases!$AF$5:$AF$34,$X25),IF($W25="V","",""))</f>
        <v/>
      </c>
      <c r="S25" s="19" t="str">
        <f>IF($W25="L",IF(INDEX(Leases!$AH$5:$AH$34,$X25)="","",INDEX(Leases!$AH$5:$AH$34,$X25)),IF($W25="V","",""))</f>
        <v/>
      </c>
      <c r="T25" s="16" t="str">
        <f>IF($W25="L",TRIM(IF(INDEX(Leases!$AJ$5:$AJ$34,$X25)=1,"Awaiting index: not in rent totals. ","")&amp;IF(INDEX(Leases!$AC$5:$AC$34,$X25)=1,"Rent not started. ","")&amp;IF(INDEX(Leases!$AD$5:$AD$34,$X25)=1,"Abated on the date. ","")&amp;IF(INDEX(Leases!$AG$5:$AG$34,$X25)=1,"Letter of credit expired. ","")),IF($W25="V",IF(INDEX(Units!$H$5:$H$54,$X25)&lt;&gt;"","Vacant. A signed lease starts on the Lease start date.","Vacant."),""))</f>
        <v/>
      </c>
      <c r="U25" s="16" t="str">
        <f>IF($W25="L",IF(INDEX(Leases!$R$5:$R$34,$X25)="","",INDEX(Leases!$R$5:$R$34,$X25)),IF($W25="V",IF(INDEX(Units!$D$5:$D$54,$X25)="","",INDEX(Units!$D$5:$D$54,$X25)),""))</f>
        <v/>
      </c>
      <c r="W25" s="15" t="str">
        <f>IF((ROW()-ROW($A$9))&lt;=$W$7,"L",IF((ROW()-ROW($A$9))&lt;=$W$7+$X$7,"V",""))</f>
        <v/>
      </c>
      <c r="X25" s="15" t="str">
        <f>IF(W25="L",MATCH((ROW()-ROW($A$9)),Leases!$AQ$5:$AQ$34,0),IF(W25="V",MATCH((ROW()-ROW($A$9))-$W$7,Units!$J$5:$J$54,0),""))</f>
        <v/>
      </c>
      <c r="Y25" s="15">
        <f>IF(W25="L",INDEX(Leases!$AI$5:$AI$34,$X25),0)</f>
        <v>0</v>
      </c>
    </row>
    <row r="26">
      <c r="A26" s="15" t="str">
        <f>IF($W26="","",(ROW()-ROW($A$9)))</f>
        <v/>
      </c>
      <c r="B26" s="16" t="str">
        <f>IF($W26="L",IF(INDEX(Leases!$A$5:$A$34,$X26)="","",INDEX(Leases!$A$5:$A$34,$X26)),IF($W26="V","Vacant",""))</f>
        <v/>
      </c>
      <c r="C26" s="16" t="str">
        <f>IF($W26="L",IF(INDEX(Leases!$V$5:$V$34,$X26)="","",INDEX(Leases!$V$5:$V$34,$X26)),IF($W26="V",IF(INDEX(Units!$A$5:$A$54,$X26)="","",INDEX(Units!$A$5:$A$54,$X26)),""))</f>
        <v/>
      </c>
      <c r="D26" s="16" t="str">
        <f>IF($W26="L",IF(INDEX(Leases!$B$5:$B$34,$X26)="","",INDEX(Leases!$B$5:$B$34,$X26)),IF($W26="V","",""))</f>
        <v/>
      </c>
      <c r="E26" s="17" t="str">
        <f>IF($W26="L",INDEX(Leases!$W$5:$W$34,$X26),IF($W26="V",IF(INDEX(Units!$B$5:$B$54,$X26)="","",INDEX(Units!$B$5:$B$54,$X26)),""))</f>
        <v/>
      </c>
      <c r="F26" s="18" t="str">
        <f>IF($W26="L",IF(INDEX(Leases!$C$5:$C$34,$X26)="","",INDEX(Leases!$C$5:$C$34,$X26)),IF($W26="V",IF(INDEX(Units!$H$5:$H$54,$X26)="","",INDEX(Units!$H$5:$H$54,$X26)),""))</f>
        <v/>
      </c>
      <c r="G26" s="18" t="str">
        <f>IF($W26="L",IF(INDEX(Leases!$D$5:$D$34,$X26)="","No end date",INDEX(Leases!$D$5:$D$34,$X26)),IF($W26="V","",""))</f>
        <v/>
      </c>
      <c r="H26" s="18" t="str">
        <f>IF($W26="L",IF(INDEX(Leases!$E$5:$E$34,$X26)="","",INDEX(Leases!$E$5:$E$34,$X26)),IF($W26="V","",""))</f>
        <v/>
      </c>
      <c r="I26" s="19" t="str">
        <f>IF($W26="L",IF(INDEX(Leases!$X$5:$X$34,$X26)="","",INDEX(Leases!$X$5:$X$34,$X26)),IF($W26="V","",""))</f>
        <v/>
      </c>
      <c r="J26" s="19" t="str">
        <f>IF($W26="L",IF(INDEX(Leases!$Z$5:$Z$34,$X26)="","",INDEX(Leases!$Z$5:$Z$34,$X26)),IF($W26="V","",""))</f>
        <v/>
      </c>
      <c r="K26" s="19" t="str">
        <f>IF($W26="L",IF(INDEX(Leases!$Y$5:$Y$34,$X26)="","",INDEX(Leases!$Y$5:$Y$34,$X26)),IF($W26="V","",""))</f>
        <v/>
      </c>
      <c r="L26" s="19" t="str">
        <f>IF($W26="L",IF(INDEX(Leases!$M$5:$M$34,$X26)="","",INDEX(Leases!$M$5:$M$34,$X26)),IF($W26="V","",""))</f>
        <v/>
      </c>
      <c r="M26" s="18" t="str">
        <f>IF($W26="L",IF(INDEX(Leases!$AA$5:$AA$34,$X26)="","",INDEX(Leases!$AA$5:$AA$34,$X26)),IF($W26="V","",""))</f>
        <v/>
      </c>
      <c r="N26" s="19" t="str">
        <f>IF($W26="L",IF(INDEX(Leases!$AB$5:$AB$34,$X26)="","",INDEX(Leases!$AB$5:$AB$34,$X26)),IF($W26="V","",""))</f>
        <v/>
      </c>
      <c r="O26" s="20" t="str">
        <f>IF($W26="L",IF(INDEX(Leases!$AD$5:$AD$34,$X26)=1,INDEX(Leases!$J$5:$J$34,$X26),""),IF($W26="V","",""))</f>
        <v/>
      </c>
      <c r="P26" s="18" t="str">
        <f>IF($W26="L",IF(INDEX(Leases!$AD$5:$AD$34,$X26)=1,INDEX(Leases!$L$5:$L$34,$X26),""),IF($W26="V","",""))</f>
        <v/>
      </c>
      <c r="Q26" s="19" t="str">
        <f>IF($W26="L",INDEX(Leases!$AE$5:$AE$34,$X26),IF($W26="V","",""))</f>
        <v/>
      </c>
      <c r="R26" s="19" t="str">
        <f>IF($W26="L",INDEX(Leases!$AF$5:$AF$34,$X26),IF($W26="V","",""))</f>
        <v/>
      </c>
      <c r="S26" s="19" t="str">
        <f>IF($W26="L",IF(INDEX(Leases!$AH$5:$AH$34,$X26)="","",INDEX(Leases!$AH$5:$AH$34,$X26)),IF($W26="V","",""))</f>
        <v/>
      </c>
      <c r="T26" s="16" t="str">
        <f>IF($W26="L",TRIM(IF(INDEX(Leases!$AJ$5:$AJ$34,$X26)=1,"Awaiting index: not in rent totals. ","")&amp;IF(INDEX(Leases!$AC$5:$AC$34,$X26)=1,"Rent not started. ","")&amp;IF(INDEX(Leases!$AD$5:$AD$34,$X26)=1,"Abated on the date. ","")&amp;IF(INDEX(Leases!$AG$5:$AG$34,$X26)=1,"Letter of credit expired. ","")),IF($W26="V",IF(INDEX(Units!$H$5:$H$54,$X26)&lt;&gt;"","Vacant. A signed lease starts on the Lease start date.","Vacant."),""))</f>
        <v/>
      </c>
      <c r="U26" s="16" t="str">
        <f>IF($W26="L",IF(INDEX(Leases!$R$5:$R$34,$X26)="","",INDEX(Leases!$R$5:$R$34,$X26)),IF($W26="V",IF(INDEX(Units!$D$5:$D$54,$X26)="","",INDEX(Units!$D$5:$D$54,$X26)),""))</f>
        <v/>
      </c>
      <c r="W26" s="15" t="str">
        <f>IF((ROW()-ROW($A$9))&lt;=$W$7,"L",IF((ROW()-ROW($A$9))&lt;=$W$7+$X$7,"V",""))</f>
        <v/>
      </c>
      <c r="X26" s="15" t="str">
        <f>IF(W26="L",MATCH((ROW()-ROW($A$9)),Leases!$AQ$5:$AQ$34,0),IF(W26="V",MATCH((ROW()-ROW($A$9))-$W$7,Units!$J$5:$J$54,0),""))</f>
        <v/>
      </c>
      <c r="Y26" s="15">
        <f>IF(W26="L",INDEX(Leases!$AI$5:$AI$34,$X26),0)</f>
        <v>0</v>
      </c>
    </row>
    <row r="27">
      <c r="A27" s="15" t="str">
        <f>IF($W27="","",(ROW()-ROW($A$9)))</f>
        <v/>
      </c>
      <c r="B27" s="16" t="str">
        <f>IF($W27="L",IF(INDEX(Leases!$A$5:$A$34,$X27)="","",INDEX(Leases!$A$5:$A$34,$X27)),IF($W27="V","Vacant",""))</f>
        <v/>
      </c>
      <c r="C27" s="16" t="str">
        <f>IF($W27="L",IF(INDEX(Leases!$V$5:$V$34,$X27)="","",INDEX(Leases!$V$5:$V$34,$X27)),IF($W27="V",IF(INDEX(Units!$A$5:$A$54,$X27)="","",INDEX(Units!$A$5:$A$54,$X27)),""))</f>
        <v/>
      </c>
      <c r="D27" s="16" t="str">
        <f>IF($W27="L",IF(INDEX(Leases!$B$5:$B$34,$X27)="","",INDEX(Leases!$B$5:$B$34,$X27)),IF($W27="V","",""))</f>
        <v/>
      </c>
      <c r="E27" s="17" t="str">
        <f>IF($W27="L",INDEX(Leases!$W$5:$W$34,$X27),IF($W27="V",IF(INDEX(Units!$B$5:$B$54,$X27)="","",INDEX(Units!$B$5:$B$54,$X27)),""))</f>
        <v/>
      </c>
      <c r="F27" s="18" t="str">
        <f>IF($W27="L",IF(INDEX(Leases!$C$5:$C$34,$X27)="","",INDEX(Leases!$C$5:$C$34,$X27)),IF($W27="V",IF(INDEX(Units!$H$5:$H$54,$X27)="","",INDEX(Units!$H$5:$H$54,$X27)),""))</f>
        <v/>
      </c>
      <c r="G27" s="18" t="str">
        <f>IF($W27="L",IF(INDEX(Leases!$D$5:$D$34,$X27)="","No end date",INDEX(Leases!$D$5:$D$34,$X27)),IF($W27="V","",""))</f>
        <v/>
      </c>
      <c r="H27" s="18" t="str">
        <f>IF($W27="L",IF(INDEX(Leases!$E$5:$E$34,$X27)="","",INDEX(Leases!$E$5:$E$34,$X27)),IF($W27="V","",""))</f>
        <v/>
      </c>
      <c r="I27" s="19" t="str">
        <f>IF($W27="L",IF(INDEX(Leases!$X$5:$X$34,$X27)="","",INDEX(Leases!$X$5:$X$34,$X27)),IF($W27="V","",""))</f>
        <v/>
      </c>
      <c r="J27" s="19" t="str">
        <f>IF($W27="L",IF(INDEX(Leases!$Z$5:$Z$34,$X27)="","",INDEX(Leases!$Z$5:$Z$34,$X27)),IF($W27="V","",""))</f>
        <v/>
      </c>
      <c r="K27" s="19" t="str">
        <f>IF($W27="L",IF(INDEX(Leases!$Y$5:$Y$34,$X27)="","",INDEX(Leases!$Y$5:$Y$34,$X27)),IF($W27="V","",""))</f>
        <v/>
      </c>
      <c r="L27" s="19" t="str">
        <f>IF($W27="L",IF(INDEX(Leases!$M$5:$M$34,$X27)="","",INDEX(Leases!$M$5:$M$34,$X27)),IF($W27="V","",""))</f>
        <v/>
      </c>
      <c r="M27" s="18" t="str">
        <f>IF($W27="L",IF(INDEX(Leases!$AA$5:$AA$34,$X27)="","",INDEX(Leases!$AA$5:$AA$34,$X27)),IF($W27="V","",""))</f>
        <v/>
      </c>
      <c r="N27" s="19" t="str">
        <f>IF($W27="L",IF(INDEX(Leases!$AB$5:$AB$34,$X27)="","",INDEX(Leases!$AB$5:$AB$34,$X27)),IF($W27="V","",""))</f>
        <v/>
      </c>
      <c r="O27" s="20" t="str">
        <f>IF($W27="L",IF(INDEX(Leases!$AD$5:$AD$34,$X27)=1,INDEX(Leases!$J$5:$J$34,$X27),""),IF($W27="V","",""))</f>
        <v/>
      </c>
      <c r="P27" s="18" t="str">
        <f>IF($W27="L",IF(INDEX(Leases!$AD$5:$AD$34,$X27)=1,INDEX(Leases!$L$5:$L$34,$X27),""),IF($W27="V","",""))</f>
        <v/>
      </c>
      <c r="Q27" s="19" t="str">
        <f>IF($W27="L",INDEX(Leases!$AE$5:$AE$34,$X27),IF($W27="V","",""))</f>
        <v/>
      </c>
      <c r="R27" s="19" t="str">
        <f>IF($W27="L",INDEX(Leases!$AF$5:$AF$34,$X27),IF($W27="V","",""))</f>
        <v/>
      </c>
      <c r="S27" s="19" t="str">
        <f>IF($W27="L",IF(INDEX(Leases!$AH$5:$AH$34,$X27)="","",INDEX(Leases!$AH$5:$AH$34,$X27)),IF($W27="V","",""))</f>
        <v/>
      </c>
      <c r="T27" s="16" t="str">
        <f>IF($W27="L",TRIM(IF(INDEX(Leases!$AJ$5:$AJ$34,$X27)=1,"Awaiting index: not in rent totals. ","")&amp;IF(INDEX(Leases!$AC$5:$AC$34,$X27)=1,"Rent not started. ","")&amp;IF(INDEX(Leases!$AD$5:$AD$34,$X27)=1,"Abated on the date. ","")&amp;IF(INDEX(Leases!$AG$5:$AG$34,$X27)=1,"Letter of credit expired. ","")),IF($W27="V",IF(INDEX(Units!$H$5:$H$54,$X27)&lt;&gt;"","Vacant. A signed lease starts on the Lease start date.","Vacant."),""))</f>
        <v/>
      </c>
      <c r="U27" s="16" t="str">
        <f>IF($W27="L",IF(INDEX(Leases!$R$5:$R$34,$X27)="","",INDEX(Leases!$R$5:$R$34,$X27)),IF($W27="V",IF(INDEX(Units!$D$5:$D$54,$X27)="","",INDEX(Units!$D$5:$D$54,$X27)),""))</f>
        <v/>
      </c>
      <c r="W27" s="15" t="str">
        <f>IF((ROW()-ROW($A$9))&lt;=$W$7,"L",IF((ROW()-ROW($A$9))&lt;=$W$7+$X$7,"V",""))</f>
        <v/>
      </c>
      <c r="X27" s="15" t="str">
        <f>IF(W27="L",MATCH((ROW()-ROW($A$9)),Leases!$AQ$5:$AQ$34,0),IF(W27="V",MATCH((ROW()-ROW($A$9))-$W$7,Units!$J$5:$J$54,0),""))</f>
        <v/>
      </c>
      <c r="Y27" s="15">
        <f>IF(W27="L",INDEX(Leases!$AI$5:$AI$34,$X27),0)</f>
        <v>0</v>
      </c>
    </row>
    <row r="28">
      <c r="A28" s="15" t="str">
        <f>IF($W28="","",(ROW()-ROW($A$9)))</f>
        <v/>
      </c>
      <c r="B28" s="16" t="str">
        <f>IF($W28="L",IF(INDEX(Leases!$A$5:$A$34,$X28)="","",INDEX(Leases!$A$5:$A$34,$X28)),IF($W28="V","Vacant",""))</f>
        <v/>
      </c>
      <c r="C28" s="16" t="str">
        <f>IF($W28="L",IF(INDEX(Leases!$V$5:$V$34,$X28)="","",INDEX(Leases!$V$5:$V$34,$X28)),IF($W28="V",IF(INDEX(Units!$A$5:$A$54,$X28)="","",INDEX(Units!$A$5:$A$54,$X28)),""))</f>
        <v/>
      </c>
      <c r="D28" s="16" t="str">
        <f>IF($W28="L",IF(INDEX(Leases!$B$5:$B$34,$X28)="","",INDEX(Leases!$B$5:$B$34,$X28)),IF($W28="V","",""))</f>
        <v/>
      </c>
      <c r="E28" s="17" t="str">
        <f>IF($W28="L",INDEX(Leases!$W$5:$W$34,$X28),IF($W28="V",IF(INDEX(Units!$B$5:$B$54,$X28)="","",INDEX(Units!$B$5:$B$54,$X28)),""))</f>
        <v/>
      </c>
      <c r="F28" s="18" t="str">
        <f>IF($W28="L",IF(INDEX(Leases!$C$5:$C$34,$X28)="","",INDEX(Leases!$C$5:$C$34,$X28)),IF($W28="V",IF(INDEX(Units!$H$5:$H$54,$X28)="","",INDEX(Units!$H$5:$H$54,$X28)),""))</f>
        <v/>
      </c>
      <c r="G28" s="18" t="str">
        <f>IF($W28="L",IF(INDEX(Leases!$D$5:$D$34,$X28)="","No end date",INDEX(Leases!$D$5:$D$34,$X28)),IF($W28="V","",""))</f>
        <v/>
      </c>
      <c r="H28" s="18" t="str">
        <f>IF($W28="L",IF(INDEX(Leases!$E$5:$E$34,$X28)="","",INDEX(Leases!$E$5:$E$34,$X28)),IF($W28="V","",""))</f>
        <v/>
      </c>
      <c r="I28" s="19" t="str">
        <f>IF($W28="L",IF(INDEX(Leases!$X$5:$X$34,$X28)="","",INDEX(Leases!$X$5:$X$34,$X28)),IF($W28="V","",""))</f>
        <v/>
      </c>
      <c r="J28" s="19" t="str">
        <f>IF($W28="L",IF(INDEX(Leases!$Z$5:$Z$34,$X28)="","",INDEX(Leases!$Z$5:$Z$34,$X28)),IF($W28="V","",""))</f>
        <v/>
      </c>
      <c r="K28" s="19" t="str">
        <f>IF($W28="L",IF(INDEX(Leases!$Y$5:$Y$34,$X28)="","",INDEX(Leases!$Y$5:$Y$34,$X28)),IF($W28="V","",""))</f>
        <v/>
      </c>
      <c r="L28" s="19" t="str">
        <f>IF($W28="L",IF(INDEX(Leases!$M$5:$M$34,$X28)="","",INDEX(Leases!$M$5:$M$34,$X28)),IF($W28="V","",""))</f>
        <v/>
      </c>
      <c r="M28" s="18" t="str">
        <f>IF($W28="L",IF(INDEX(Leases!$AA$5:$AA$34,$X28)="","",INDEX(Leases!$AA$5:$AA$34,$X28)),IF($W28="V","",""))</f>
        <v/>
      </c>
      <c r="N28" s="19" t="str">
        <f>IF($W28="L",IF(INDEX(Leases!$AB$5:$AB$34,$X28)="","",INDEX(Leases!$AB$5:$AB$34,$X28)),IF($W28="V","",""))</f>
        <v/>
      </c>
      <c r="O28" s="20" t="str">
        <f>IF($W28="L",IF(INDEX(Leases!$AD$5:$AD$34,$X28)=1,INDEX(Leases!$J$5:$J$34,$X28),""),IF($W28="V","",""))</f>
        <v/>
      </c>
      <c r="P28" s="18" t="str">
        <f>IF($W28="L",IF(INDEX(Leases!$AD$5:$AD$34,$X28)=1,INDEX(Leases!$L$5:$L$34,$X28),""),IF($W28="V","",""))</f>
        <v/>
      </c>
      <c r="Q28" s="19" t="str">
        <f>IF($W28="L",INDEX(Leases!$AE$5:$AE$34,$X28),IF($W28="V","",""))</f>
        <v/>
      </c>
      <c r="R28" s="19" t="str">
        <f>IF($W28="L",INDEX(Leases!$AF$5:$AF$34,$X28),IF($W28="V","",""))</f>
        <v/>
      </c>
      <c r="S28" s="19" t="str">
        <f>IF($W28="L",IF(INDEX(Leases!$AH$5:$AH$34,$X28)="","",INDEX(Leases!$AH$5:$AH$34,$X28)),IF($W28="V","",""))</f>
        <v/>
      </c>
      <c r="T28" s="16" t="str">
        <f>IF($W28="L",TRIM(IF(INDEX(Leases!$AJ$5:$AJ$34,$X28)=1,"Awaiting index: not in rent totals. ","")&amp;IF(INDEX(Leases!$AC$5:$AC$34,$X28)=1,"Rent not started. ","")&amp;IF(INDEX(Leases!$AD$5:$AD$34,$X28)=1,"Abated on the date. ","")&amp;IF(INDEX(Leases!$AG$5:$AG$34,$X28)=1,"Letter of credit expired. ","")),IF($W28="V",IF(INDEX(Units!$H$5:$H$54,$X28)&lt;&gt;"","Vacant. A signed lease starts on the Lease start date.","Vacant."),""))</f>
        <v/>
      </c>
      <c r="U28" s="16" t="str">
        <f>IF($W28="L",IF(INDEX(Leases!$R$5:$R$34,$X28)="","",INDEX(Leases!$R$5:$R$34,$X28)),IF($W28="V",IF(INDEX(Units!$D$5:$D$54,$X28)="","",INDEX(Units!$D$5:$D$54,$X28)),""))</f>
        <v/>
      </c>
      <c r="W28" s="15" t="str">
        <f>IF((ROW()-ROW($A$9))&lt;=$W$7,"L",IF((ROW()-ROW($A$9))&lt;=$W$7+$X$7,"V",""))</f>
        <v/>
      </c>
      <c r="X28" s="15" t="str">
        <f>IF(W28="L",MATCH((ROW()-ROW($A$9)),Leases!$AQ$5:$AQ$34,0),IF(W28="V",MATCH((ROW()-ROW($A$9))-$W$7,Units!$J$5:$J$54,0),""))</f>
        <v/>
      </c>
      <c r="Y28" s="15">
        <f>IF(W28="L",INDEX(Leases!$AI$5:$AI$34,$X28),0)</f>
        <v>0</v>
      </c>
    </row>
    <row r="29">
      <c r="A29" s="15" t="str">
        <f>IF($W29="","",(ROW()-ROW($A$9)))</f>
        <v/>
      </c>
      <c r="B29" s="16" t="str">
        <f>IF($W29="L",IF(INDEX(Leases!$A$5:$A$34,$X29)="","",INDEX(Leases!$A$5:$A$34,$X29)),IF($W29="V","Vacant",""))</f>
        <v/>
      </c>
      <c r="C29" s="16" t="str">
        <f>IF($W29="L",IF(INDEX(Leases!$V$5:$V$34,$X29)="","",INDEX(Leases!$V$5:$V$34,$X29)),IF($W29="V",IF(INDEX(Units!$A$5:$A$54,$X29)="","",INDEX(Units!$A$5:$A$54,$X29)),""))</f>
        <v/>
      </c>
      <c r="D29" s="16" t="str">
        <f>IF($W29="L",IF(INDEX(Leases!$B$5:$B$34,$X29)="","",INDEX(Leases!$B$5:$B$34,$X29)),IF($W29="V","",""))</f>
        <v/>
      </c>
      <c r="E29" s="17" t="str">
        <f>IF($W29="L",INDEX(Leases!$W$5:$W$34,$X29),IF($W29="V",IF(INDEX(Units!$B$5:$B$54,$X29)="","",INDEX(Units!$B$5:$B$54,$X29)),""))</f>
        <v/>
      </c>
      <c r="F29" s="18" t="str">
        <f>IF($W29="L",IF(INDEX(Leases!$C$5:$C$34,$X29)="","",INDEX(Leases!$C$5:$C$34,$X29)),IF($W29="V",IF(INDEX(Units!$H$5:$H$54,$X29)="","",INDEX(Units!$H$5:$H$54,$X29)),""))</f>
        <v/>
      </c>
      <c r="G29" s="18" t="str">
        <f>IF($W29="L",IF(INDEX(Leases!$D$5:$D$34,$X29)="","No end date",INDEX(Leases!$D$5:$D$34,$X29)),IF($W29="V","",""))</f>
        <v/>
      </c>
      <c r="H29" s="18" t="str">
        <f>IF($W29="L",IF(INDEX(Leases!$E$5:$E$34,$X29)="","",INDEX(Leases!$E$5:$E$34,$X29)),IF($W29="V","",""))</f>
        <v/>
      </c>
      <c r="I29" s="19" t="str">
        <f>IF($W29="L",IF(INDEX(Leases!$X$5:$X$34,$X29)="","",INDEX(Leases!$X$5:$X$34,$X29)),IF($W29="V","",""))</f>
        <v/>
      </c>
      <c r="J29" s="19" t="str">
        <f>IF($W29="L",IF(INDEX(Leases!$Z$5:$Z$34,$X29)="","",INDEX(Leases!$Z$5:$Z$34,$X29)),IF($W29="V","",""))</f>
        <v/>
      </c>
      <c r="K29" s="19" t="str">
        <f>IF($W29="L",IF(INDEX(Leases!$Y$5:$Y$34,$X29)="","",INDEX(Leases!$Y$5:$Y$34,$X29)),IF($W29="V","",""))</f>
        <v/>
      </c>
      <c r="L29" s="19" t="str">
        <f>IF($W29="L",IF(INDEX(Leases!$M$5:$M$34,$X29)="","",INDEX(Leases!$M$5:$M$34,$X29)),IF($W29="V","",""))</f>
        <v/>
      </c>
      <c r="M29" s="18" t="str">
        <f>IF($W29="L",IF(INDEX(Leases!$AA$5:$AA$34,$X29)="","",INDEX(Leases!$AA$5:$AA$34,$X29)),IF($W29="V","",""))</f>
        <v/>
      </c>
      <c r="N29" s="19" t="str">
        <f>IF($W29="L",IF(INDEX(Leases!$AB$5:$AB$34,$X29)="","",INDEX(Leases!$AB$5:$AB$34,$X29)),IF($W29="V","",""))</f>
        <v/>
      </c>
      <c r="O29" s="20" t="str">
        <f>IF($W29="L",IF(INDEX(Leases!$AD$5:$AD$34,$X29)=1,INDEX(Leases!$J$5:$J$34,$X29),""),IF($W29="V","",""))</f>
        <v/>
      </c>
      <c r="P29" s="18" t="str">
        <f>IF($W29="L",IF(INDEX(Leases!$AD$5:$AD$34,$X29)=1,INDEX(Leases!$L$5:$L$34,$X29),""),IF($W29="V","",""))</f>
        <v/>
      </c>
      <c r="Q29" s="19" t="str">
        <f>IF($W29="L",INDEX(Leases!$AE$5:$AE$34,$X29),IF($W29="V","",""))</f>
        <v/>
      </c>
      <c r="R29" s="19" t="str">
        <f>IF($W29="L",INDEX(Leases!$AF$5:$AF$34,$X29),IF($W29="V","",""))</f>
        <v/>
      </c>
      <c r="S29" s="19" t="str">
        <f>IF($W29="L",IF(INDEX(Leases!$AH$5:$AH$34,$X29)="","",INDEX(Leases!$AH$5:$AH$34,$X29)),IF($W29="V","",""))</f>
        <v/>
      </c>
      <c r="T29" s="16" t="str">
        <f>IF($W29="L",TRIM(IF(INDEX(Leases!$AJ$5:$AJ$34,$X29)=1,"Awaiting index: not in rent totals. ","")&amp;IF(INDEX(Leases!$AC$5:$AC$34,$X29)=1,"Rent not started. ","")&amp;IF(INDEX(Leases!$AD$5:$AD$34,$X29)=1,"Abated on the date. ","")&amp;IF(INDEX(Leases!$AG$5:$AG$34,$X29)=1,"Letter of credit expired. ","")),IF($W29="V",IF(INDEX(Units!$H$5:$H$54,$X29)&lt;&gt;"","Vacant. A signed lease starts on the Lease start date.","Vacant."),""))</f>
        <v/>
      </c>
      <c r="U29" s="16" t="str">
        <f>IF($W29="L",IF(INDEX(Leases!$R$5:$R$34,$X29)="","",INDEX(Leases!$R$5:$R$34,$X29)),IF($W29="V",IF(INDEX(Units!$D$5:$D$54,$X29)="","",INDEX(Units!$D$5:$D$54,$X29)),""))</f>
        <v/>
      </c>
      <c r="W29" s="15" t="str">
        <f>IF((ROW()-ROW($A$9))&lt;=$W$7,"L",IF((ROW()-ROW($A$9))&lt;=$W$7+$X$7,"V",""))</f>
        <v/>
      </c>
      <c r="X29" s="15" t="str">
        <f>IF(W29="L",MATCH((ROW()-ROW($A$9)),Leases!$AQ$5:$AQ$34,0),IF(W29="V",MATCH((ROW()-ROW($A$9))-$W$7,Units!$J$5:$J$54,0),""))</f>
        <v/>
      </c>
      <c r="Y29" s="15">
        <f>IF(W29="L",INDEX(Leases!$AI$5:$AI$34,$X29),0)</f>
        <v>0</v>
      </c>
    </row>
    <row r="30">
      <c r="A30" s="15" t="str">
        <f>IF($W30="","",(ROW()-ROW($A$9)))</f>
        <v/>
      </c>
      <c r="B30" s="16" t="str">
        <f>IF($W30="L",IF(INDEX(Leases!$A$5:$A$34,$X30)="","",INDEX(Leases!$A$5:$A$34,$X30)),IF($W30="V","Vacant",""))</f>
        <v/>
      </c>
      <c r="C30" s="16" t="str">
        <f>IF($W30="L",IF(INDEX(Leases!$V$5:$V$34,$X30)="","",INDEX(Leases!$V$5:$V$34,$X30)),IF($W30="V",IF(INDEX(Units!$A$5:$A$54,$X30)="","",INDEX(Units!$A$5:$A$54,$X30)),""))</f>
        <v/>
      </c>
      <c r="D30" s="16" t="str">
        <f>IF($W30="L",IF(INDEX(Leases!$B$5:$B$34,$X30)="","",INDEX(Leases!$B$5:$B$34,$X30)),IF($W30="V","",""))</f>
        <v/>
      </c>
      <c r="E30" s="17" t="str">
        <f>IF($W30="L",INDEX(Leases!$W$5:$W$34,$X30),IF($W30="V",IF(INDEX(Units!$B$5:$B$54,$X30)="","",INDEX(Units!$B$5:$B$54,$X30)),""))</f>
        <v/>
      </c>
      <c r="F30" s="18" t="str">
        <f>IF($W30="L",IF(INDEX(Leases!$C$5:$C$34,$X30)="","",INDEX(Leases!$C$5:$C$34,$X30)),IF($W30="V",IF(INDEX(Units!$H$5:$H$54,$X30)="","",INDEX(Units!$H$5:$H$54,$X30)),""))</f>
        <v/>
      </c>
      <c r="G30" s="18" t="str">
        <f>IF($W30="L",IF(INDEX(Leases!$D$5:$D$34,$X30)="","No end date",INDEX(Leases!$D$5:$D$34,$X30)),IF($W30="V","",""))</f>
        <v/>
      </c>
      <c r="H30" s="18" t="str">
        <f>IF($W30="L",IF(INDEX(Leases!$E$5:$E$34,$X30)="","",INDEX(Leases!$E$5:$E$34,$X30)),IF($W30="V","",""))</f>
        <v/>
      </c>
      <c r="I30" s="19" t="str">
        <f>IF($W30="L",IF(INDEX(Leases!$X$5:$X$34,$X30)="","",INDEX(Leases!$X$5:$X$34,$X30)),IF($W30="V","",""))</f>
        <v/>
      </c>
      <c r="J30" s="19" t="str">
        <f>IF($W30="L",IF(INDEX(Leases!$Z$5:$Z$34,$X30)="","",INDEX(Leases!$Z$5:$Z$34,$X30)),IF($W30="V","",""))</f>
        <v/>
      </c>
      <c r="K30" s="19" t="str">
        <f>IF($W30="L",IF(INDEX(Leases!$Y$5:$Y$34,$X30)="","",INDEX(Leases!$Y$5:$Y$34,$X30)),IF($W30="V","",""))</f>
        <v/>
      </c>
      <c r="L30" s="19" t="str">
        <f>IF($W30="L",IF(INDEX(Leases!$M$5:$M$34,$X30)="","",INDEX(Leases!$M$5:$M$34,$X30)),IF($W30="V","",""))</f>
        <v/>
      </c>
      <c r="M30" s="18" t="str">
        <f>IF($W30="L",IF(INDEX(Leases!$AA$5:$AA$34,$X30)="","",INDEX(Leases!$AA$5:$AA$34,$X30)),IF($W30="V","",""))</f>
        <v/>
      </c>
      <c r="N30" s="19" t="str">
        <f>IF($W30="L",IF(INDEX(Leases!$AB$5:$AB$34,$X30)="","",INDEX(Leases!$AB$5:$AB$34,$X30)),IF($W30="V","",""))</f>
        <v/>
      </c>
      <c r="O30" s="20" t="str">
        <f>IF($W30="L",IF(INDEX(Leases!$AD$5:$AD$34,$X30)=1,INDEX(Leases!$J$5:$J$34,$X30),""),IF($W30="V","",""))</f>
        <v/>
      </c>
      <c r="P30" s="18" t="str">
        <f>IF($W30="L",IF(INDEX(Leases!$AD$5:$AD$34,$X30)=1,INDEX(Leases!$L$5:$L$34,$X30),""),IF($W30="V","",""))</f>
        <v/>
      </c>
      <c r="Q30" s="19" t="str">
        <f>IF($W30="L",INDEX(Leases!$AE$5:$AE$34,$X30),IF($W30="V","",""))</f>
        <v/>
      </c>
      <c r="R30" s="19" t="str">
        <f>IF($W30="L",INDEX(Leases!$AF$5:$AF$34,$X30),IF($W30="V","",""))</f>
        <v/>
      </c>
      <c r="S30" s="19" t="str">
        <f>IF($W30="L",IF(INDEX(Leases!$AH$5:$AH$34,$X30)="","",INDEX(Leases!$AH$5:$AH$34,$X30)),IF($W30="V","",""))</f>
        <v/>
      </c>
      <c r="T30" s="16" t="str">
        <f>IF($W30="L",TRIM(IF(INDEX(Leases!$AJ$5:$AJ$34,$X30)=1,"Awaiting index: not in rent totals. ","")&amp;IF(INDEX(Leases!$AC$5:$AC$34,$X30)=1,"Rent not started. ","")&amp;IF(INDEX(Leases!$AD$5:$AD$34,$X30)=1,"Abated on the date. ","")&amp;IF(INDEX(Leases!$AG$5:$AG$34,$X30)=1,"Letter of credit expired. ","")),IF($W30="V",IF(INDEX(Units!$H$5:$H$54,$X30)&lt;&gt;"","Vacant. A signed lease starts on the Lease start date.","Vacant."),""))</f>
        <v/>
      </c>
      <c r="U30" s="16" t="str">
        <f>IF($W30="L",IF(INDEX(Leases!$R$5:$R$34,$X30)="","",INDEX(Leases!$R$5:$R$34,$X30)),IF($W30="V",IF(INDEX(Units!$D$5:$D$54,$X30)="","",INDEX(Units!$D$5:$D$54,$X30)),""))</f>
        <v/>
      </c>
      <c r="W30" s="15" t="str">
        <f>IF((ROW()-ROW($A$9))&lt;=$W$7,"L",IF((ROW()-ROW($A$9))&lt;=$W$7+$X$7,"V",""))</f>
        <v/>
      </c>
      <c r="X30" s="15" t="str">
        <f>IF(W30="L",MATCH((ROW()-ROW($A$9)),Leases!$AQ$5:$AQ$34,0),IF(W30="V",MATCH((ROW()-ROW($A$9))-$W$7,Units!$J$5:$J$54,0),""))</f>
        <v/>
      </c>
      <c r="Y30" s="15">
        <f>IF(W30="L",INDEX(Leases!$AI$5:$AI$34,$X30),0)</f>
        <v>0</v>
      </c>
    </row>
    <row r="31">
      <c r="A31" s="15" t="str">
        <f>IF($W31="","",(ROW()-ROW($A$9)))</f>
        <v/>
      </c>
      <c r="B31" s="16" t="str">
        <f>IF($W31="L",IF(INDEX(Leases!$A$5:$A$34,$X31)="","",INDEX(Leases!$A$5:$A$34,$X31)),IF($W31="V","Vacant",""))</f>
        <v/>
      </c>
      <c r="C31" s="16" t="str">
        <f>IF($W31="L",IF(INDEX(Leases!$V$5:$V$34,$X31)="","",INDEX(Leases!$V$5:$V$34,$X31)),IF($W31="V",IF(INDEX(Units!$A$5:$A$54,$X31)="","",INDEX(Units!$A$5:$A$54,$X31)),""))</f>
        <v/>
      </c>
      <c r="D31" s="16" t="str">
        <f>IF($W31="L",IF(INDEX(Leases!$B$5:$B$34,$X31)="","",INDEX(Leases!$B$5:$B$34,$X31)),IF($W31="V","",""))</f>
        <v/>
      </c>
      <c r="E31" s="17" t="str">
        <f>IF($W31="L",INDEX(Leases!$W$5:$W$34,$X31),IF($W31="V",IF(INDEX(Units!$B$5:$B$54,$X31)="","",INDEX(Units!$B$5:$B$54,$X31)),""))</f>
        <v/>
      </c>
      <c r="F31" s="18" t="str">
        <f>IF($W31="L",IF(INDEX(Leases!$C$5:$C$34,$X31)="","",INDEX(Leases!$C$5:$C$34,$X31)),IF($W31="V",IF(INDEX(Units!$H$5:$H$54,$X31)="","",INDEX(Units!$H$5:$H$54,$X31)),""))</f>
        <v/>
      </c>
      <c r="G31" s="18" t="str">
        <f>IF($W31="L",IF(INDEX(Leases!$D$5:$D$34,$X31)="","No end date",INDEX(Leases!$D$5:$D$34,$X31)),IF($W31="V","",""))</f>
        <v/>
      </c>
      <c r="H31" s="18" t="str">
        <f>IF($W31="L",IF(INDEX(Leases!$E$5:$E$34,$X31)="","",INDEX(Leases!$E$5:$E$34,$X31)),IF($W31="V","",""))</f>
        <v/>
      </c>
      <c r="I31" s="19" t="str">
        <f>IF($W31="L",IF(INDEX(Leases!$X$5:$X$34,$X31)="","",INDEX(Leases!$X$5:$X$34,$X31)),IF($W31="V","",""))</f>
        <v/>
      </c>
      <c r="J31" s="19" t="str">
        <f>IF($W31="L",IF(INDEX(Leases!$Z$5:$Z$34,$X31)="","",INDEX(Leases!$Z$5:$Z$34,$X31)),IF($W31="V","",""))</f>
        <v/>
      </c>
      <c r="K31" s="19" t="str">
        <f>IF($W31="L",IF(INDEX(Leases!$Y$5:$Y$34,$X31)="","",INDEX(Leases!$Y$5:$Y$34,$X31)),IF($W31="V","",""))</f>
        <v/>
      </c>
      <c r="L31" s="19" t="str">
        <f>IF($W31="L",IF(INDEX(Leases!$M$5:$M$34,$X31)="","",INDEX(Leases!$M$5:$M$34,$X31)),IF($W31="V","",""))</f>
        <v/>
      </c>
      <c r="M31" s="18" t="str">
        <f>IF($W31="L",IF(INDEX(Leases!$AA$5:$AA$34,$X31)="","",INDEX(Leases!$AA$5:$AA$34,$X31)),IF($W31="V","",""))</f>
        <v/>
      </c>
      <c r="N31" s="19" t="str">
        <f>IF($W31="L",IF(INDEX(Leases!$AB$5:$AB$34,$X31)="","",INDEX(Leases!$AB$5:$AB$34,$X31)),IF($W31="V","",""))</f>
        <v/>
      </c>
      <c r="O31" s="20" t="str">
        <f>IF($W31="L",IF(INDEX(Leases!$AD$5:$AD$34,$X31)=1,INDEX(Leases!$J$5:$J$34,$X31),""),IF($W31="V","",""))</f>
        <v/>
      </c>
      <c r="P31" s="18" t="str">
        <f>IF($W31="L",IF(INDEX(Leases!$AD$5:$AD$34,$X31)=1,INDEX(Leases!$L$5:$L$34,$X31),""),IF($W31="V","",""))</f>
        <v/>
      </c>
      <c r="Q31" s="19" t="str">
        <f>IF($W31="L",INDEX(Leases!$AE$5:$AE$34,$X31),IF($W31="V","",""))</f>
        <v/>
      </c>
      <c r="R31" s="19" t="str">
        <f>IF($W31="L",INDEX(Leases!$AF$5:$AF$34,$X31),IF($W31="V","",""))</f>
        <v/>
      </c>
      <c r="S31" s="19" t="str">
        <f>IF($W31="L",IF(INDEX(Leases!$AH$5:$AH$34,$X31)="","",INDEX(Leases!$AH$5:$AH$34,$X31)),IF($W31="V","",""))</f>
        <v/>
      </c>
      <c r="T31" s="16" t="str">
        <f>IF($W31="L",TRIM(IF(INDEX(Leases!$AJ$5:$AJ$34,$X31)=1,"Awaiting index: not in rent totals. ","")&amp;IF(INDEX(Leases!$AC$5:$AC$34,$X31)=1,"Rent not started. ","")&amp;IF(INDEX(Leases!$AD$5:$AD$34,$X31)=1,"Abated on the date. ","")&amp;IF(INDEX(Leases!$AG$5:$AG$34,$X31)=1,"Letter of credit expired. ","")),IF($W31="V",IF(INDEX(Units!$H$5:$H$54,$X31)&lt;&gt;"","Vacant. A signed lease starts on the Lease start date.","Vacant."),""))</f>
        <v/>
      </c>
      <c r="U31" s="16" t="str">
        <f>IF($W31="L",IF(INDEX(Leases!$R$5:$R$34,$X31)="","",INDEX(Leases!$R$5:$R$34,$X31)),IF($W31="V",IF(INDEX(Units!$D$5:$D$54,$X31)="","",INDEX(Units!$D$5:$D$54,$X31)),""))</f>
        <v/>
      </c>
      <c r="W31" s="15" t="str">
        <f>IF((ROW()-ROW($A$9))&lt;=$W$7,"L",IF((ROW()-ROW($A$9))&lt;=$W$7+$X$7,"V",""))</f>
        <v/>
      </c>
      <c r="X31" s="15" t="str">
        <f>IF(W31="L",MATCH((ROW()-ROW($A$9)),Leases!$AQ$5:$AQ$34,0),IF(W31="V",MATCH((ROW()-ROW($A$9))-$W$7,Units!$J$5:$J$54,0),""))</f>
        <v/>
      </c>
      <c r="Y31" s="15">
        <f>IF(W31="L",INDEX(Leases!$AI$5:$AI$34,$X31),0)</f>
        <v>0</v>
      </c>
    </row>
    <row r="32">
      <c r="A32" s="15" t="str">
        <f>IF($W32="","",(ROW()-ROW($A$9)))</f>
        <v/>
      </c>
      <c r="B32" s="16" t="str">
        <f>IF($W32="L",IF(INDEX(Leases!$A$5:$A$34,$X32)="","",INDEX(Leases!$A$5:$A$34,$X32)),IF($W32="V","Vacant",""))</f>
        <v/>
      </c>
      <c r="C32" s="16" t="str">
        <f>IF($W32="L",IF(INDEX(Leases!$V$5:$V$34,$X32)="","",INDEX(Leases!$V$5:$V$34,$X32)),IF($W32="V",IF(INDEX(Units!$A$5:$A$54,$X32)="","",INDEX(Units!$A$5:$A$54,$X32)),""))</f>
        <v/>
      </c>
      <c r="D32" s="16" t="str">
        <f>IF($W32="L",IF(INDEX(Leases!$B$5:$B$34,$X32)="","",INDEX(Leases!$B$5:$B$34,$X32)),IF($W32="V","",""))</f>
        <v/>
      </c>
      <c r="E32" s="17" t="str">
        <f>IF($W32="L",INDEX(Leases!$W$5:$W$34,$X32),IF($W32="V",IF(INDEX(Units!$B$5:$B$54,$X32)="","",INDEX(Units!$B$5:$B$54,$X32)),""))</f>
        <v/>
      </c>
      <c r="F32" s="18" t="str">
        <f>IF($W32="L",IF(INDEX(Leases!$C$5:$C$34,$X32)="","",INDEX(Leases!$C$5:$C$34,$X32)),IF($W32="V",IF(INDEX(Units!$H$5:$H$54,$X32)="","",INDEX(Units!$H$5:$H$54,$X32)),""))</f>
        <v/>
      </c>
      <c r="G32" s="18" t="str">
        <f>IF($W32="L",IF(INDEX(Leases!$D$5:$D$34,$X32)="","No end date",INDEX(Leases!$D$5:$D$34,$X32)),IF($W32="V","",""))</f>
        <v/>
      </c>
      <c r="H32" s="18" t="str">
        <f>IF($W32="L",IF(INDEX(Leases!$E$5:$E$34,$X32)="","",INDEX(Leases!$E$5:$E$34,$X32)),IF($W32="V","",""))</f>
        <v/>
      </c>
      <c r="I32" s="19" t="str">
        <f>IF($W32="L",IF(INDEX(Leases!$X$5:$X$34,$X32)="","",INDEX(Leases!$X$5:$X$34,$X32)),IF($W32="V","",""))</f>
        <v/>
      </c>
      <c r="J32" s="19" t="str">
        <f>IF($W32="L",IF(INDEX(Leases!$Z$5:$Z$34,$X32)="","",INDEX(Leases!$Z$5:$Z$34,$X32)),IF($W32="V","",""))</f>
        <v/>
      </c>
      <c r="K32" s="19" t="str">
        <f>IF($W32="L",IF(INDEX(Leases!$Y$5:$Y$34,$X32)="","",INDEX(Leases!$Y$5:$Y$34,$X32)),IF($W32="V","",""))</f>
        <v/>
      </c>
      <c r="L32" s="19" t="str">
        <f>IF($W32="L",IF(INDEX(Leases!$M$5:$M$34,$X32)="","",INDEX(Leases!$M$5:$M$34,$X32)),IF($W32="V","",""))</f>
        <v/>
      </c>
      <c r="M32" s="18" t="str">
        <f>IF($W32="L",IF(INDEX(Leases!$AA$5:$AA$34,$X32)="","",INDEX(Leases!$AA$5:$AA$34,$X32)),IF($W32="V","",""))</f>
        <v/>
      </c>
      <c r="N32" s="19" t="str">
        <f>IF($W32="L",IF(INDEX(Leases!$AB$5:$AB$34,$X32)="","",INDEX(Leases!$AB$5:$AB$34,$X32)),IF($W32="V","",""))</f>
        <v/>
      </c>
      <c r="O32" s="20" t="str">
        <f>IF($W32="L",IF(INDEX(Leases!$AD$5:$AD$34,$X32)=1,INDEX(Leases!$J$5:$J$34,$X32),""),IF($W32="V","",""))</f>
        <v/>
      </c>
      <c r="P32" s="18" t="str">
        <f>IF($W32="L",IF(INDEX(Leases!$AD$5:$AD$34,$X32)=1,INDEX(Leases!$L$5:$L$34,$X32),""),IF($W32="V","",""))</f>
        <v/>
      </c>
      <c r="Q32" s="19" t="str">
        <f>IF($W32="L",INDEX(Leases!$AE$5:$AE$34,$X32),IF($W32="V","",""))</f>
        <v/>
      </c>
      <c r="R32" s="19" t="str">
        <f>IF($W32="L",INDEX(Leases!$AF$5:$AF$34,$X32),IF($W32="V","",""))</f>
        <v/>
      </c>
      <c r="S32" s="19" t="str">
        <f>IF($W32="L",IF(INDEX(Leases!$AH$5:$AH$34,$X32)="","",INDEX(Leases!$AH$5:$AH$34,$X32)),IF($W32="V","",""))</f>
        <v/>
      </c>
      <c r="T32" s="16" t="str">
        <f>IF($W32="L",TRIM(IF(INDEX(Leases!$AJ$5:$AJ$34,$X32)=1,"Awaiting index: not in rent totals. ","")&amp;IF(INDEX(Leases!$AC$5:$AC$34,$X32)=1,"Rent not started. ","")&amp;IF(INDEX(Leases!$AD$5:$AD$34,$X32)=1,"Abated on the date. ","")&amp;IF(INDEX(Leases!$AG$5:$AG$34,$X32)=1,"Letter of credit expired. ","")),IF($W32="V",IF(INDEX(Units!$H$5:$H$54,$X32)&lt;&gt;"","Vacant. A signed lease starts on the Lease start date.","Vacant."),""))</f>
        <v/>
      </c>
      <c r="U32" s="16" t="str">
        <f>IF($W32="L",IF(INDEX(Leases!$R$5:$R$34,$X32)="","",INDEX(Leases!$R$5:$R$34,$X32)),IF($W32="V",IF(INDEX(Units!$D$5:$D$54,$X32)="","",INDEX(Units!$D$5:$D$54,$X32)),""))</f>
        <v/>
      </c>
      <c r="W32" s="15" t="str">
        <f>IF((ROW()-ROW($A$9))&lt;=$W$7,"L",IF((ROW()-ROW($A$9))&lt;=$W$7+$X$7,"V",""))</f>
        <v/>
      </c>
      <c r="X32" s="15" t="str">
        <f>IF(W32="L",MATCH((ROW()-ROW($A$9)),Leases!$AQ$5:$AQ$34,0),IF(W32="V",MATCH((ROW()-ROW($A$9))-$W$7,Units!$J$5:$J$54,0),""))</f>
        <v/>
      </c>
      <c r="Y32" s="15">
        <f>IF(W32="L",INDEX(Leases!$AI$5:$AI$34,$X32),0)</f>
        <v>0</v>
      </c>
    </row>
    <row r="33">
      <c r="A33" s="15" t="str">
        <f>IF($W33="","",(ROW()-ROW($A$9)))</f>
        <v/>
      </c>
      <c r="B33" s="16" t="str">
        <f>IF($W33="L",IF(INDEX(Leases!$A$5:$A$34,$X33)="","",INDEX(Leases!$A$5:$A$34,$X33)),IF($W33="V","Vacant",""))</f>
        <v/>
      </c>
      <c r="C33" s="16" t="str">
        <f>IF($W33="L",IF(INDEX(Leases!$V$5:$V$34,$X33)="","",INDEX(Leases!$V$5:$V$34,$X33)),IF($W33="V",IF(INDEX(Units!$A$5:$A$54,$X33)="","",INDEX(Units!$A$5:$A$54,$X33)),""))</f>
        <v/>
      </c>
      <c r="D33" s="16" t="str">
        <f>IF($W33="L",IF(INDEX(Leases!$B$5:$B$34,$X33)="","",INDEX(Leases!$B$5:$B$34,$X33)),IF($W33="V","",""))</f>
        <v/>
      </c>
      <c r="E33" s="17" t="str">
        <f>IF($W33="L",INDEX(Leases!$W$5:$W$34,$X33),IF($W33="V",IF(INDEX(Units!$B$5:$B$54,$X33)="","",INDEX(Units!$B$5:$B$54,$X33)),""))</f>
        <v/>
      </c>
      <c r="F33" s="18" t="str">
        <f>IF($W33="L",IF(INDEX(Leases!$C$5:$C$34,$X33)="","",INDEX(Leases!$C$5:$C$34,$X33)),IF($W33="V",IF(INDEX(Units!$H$5:$H$54,$X33)="","",INDEX(Units!$H$5:$H$54,$X33)),""))</f>
        <v/>
      </c>
      <c r="G33" s="18" t="str">
        <f>IF($W33="L",IF(INDEX(Leases!$D$5:$D$34,$X33)="","No end date",INDEX(Leases!$D$5:$D$34,$X33)),IF($W33="V","",""))</f>
        <v/>
      </c>
      <c r="H33" s="18" t="str">
        <f>IF($W33="L",IF(INDEX(Leases!$E$5:$E$34,$X33)="","",INDEX(Leases!$E$5:$E$34,$X33)),IF($W33="V","",""))</f>
        <v/>
      </c>
      <c r="I33" s="19" t="str">
        <f>IF($W33="L",IF(INDEX(Leases!$X$5:$X$34,$X33)="","",INDEX(Leases!$X$5:$X$34,$X33)),IF($W33="V","",""))</f>
        <v/>
      </c>
      <c r="J33" s="19" t="str">
        <f>IF($W33="L",IF(INDEX(Leases!$Z$5:$Z$34,$X33)="","",INDEX(Leases!$Z$5:$Z$34,$X33)),IF($W33="V","",""))</f>
        <v/>
      </c>
      <c r="K33" s="19" t="str">
        <f>IF($W33="L",IF(INDEX(Leases!$Y$5:$Y$34,$X33)="","",INDEX(Leases!$Y$5:$Y$34,$X33)),IF($W33="V","",""))</f>
        <v/>
      </c>
      <c r="L33" s="19" t="str">
        <f>IF($W33="L",IF(INDEX(Leases!$M$5:$M$34,$X33)="","",INDEX(Leases!$M$5:$M$34,$X33)),IF($W33="V","",""))</f>
        <v/>
      </c>
      <c r="M33" s="18" t="str">
        <f>IF($W33="L",IF(INDEX(Leases!$AA$5:$AA$34,$X33)="","",INDEX(Leases!$AA$5:$AA$34,$X33)),IF($W33="V","",""))</f>
        <v/>
      </c>
      <c r="N33" s="19" t="str">
        <f>IF($W33="L",IF(INDEX(Leases!$AB$5:$AB$34,$X33)="","",INDEX(Leases!$AB$5:$AB$34,$X33)),IF($W33="V","",""))</f>
        <v/>
      </c>
      <c r="O33" s="20" t="str">
        <f>IF($W33="L",IF(INDEX(Leases!$AD$5:$AD$34,$X33)=1,INDEX(Leases!$J$5:$J$34,$X33),""),IF($W33="V","",""))</f>
        <v/>
      </c>
      <c r="P33" s="18" t="str">
        <f>IF($W33="L",IF(INDEX(Leases!$AD$5:$AD$34,$X33)=1,INDEX(Leases!$L$5:$L$34,$X33),""),IF($W33="V","",""))</f>
        <v/>
      </c>
      <c r="Q33" s="19" t="str">
        <f>IF($W33="L",INDEX(Leases!$AE$5:$AE$34,$X33),IF($W33="V","",""))</f>
        <v/>
      </c>
      <c r="R33" s="19" t="str">
        <f>IF($W33="L",INDEX(Leases!$AF$5:$AF$34,$X33),IF($W33="V","",""))</f>
        <v/>
      </c>
      <c r="S33" s="19" t="str">
        <f>IF($W33="L",IF(INDEX(Leases!$AH$5:$AH$34,$X33)="","",INDEX(Leases!$AH$5:$AH$34,$X33)),IF($W33="V","",""))</f>
        <v/>
      </c>
      <c r="T33" s="16" t="str">
        <f>IF($W33="L",TRIM(IF(INDEX(Leases!$AJ$5:$AJ$34,$X33)=1,"Awaiting index: not in rent totals. ","")&amp;IF(INDEX(Leases!$AC$5:$AC$34,$X33)=1,"Rent not started. ","")&amp;IF(INDEX(Leases!$AD$5:$AD$34,$X33)=1,"Abated on the date. ","")&amp;IF(INDEX(Leases!$AG$5:$AG$34,$X33)=1,"Letter of credit expired. ","")),IF($W33="V",IF(INDEX(Units!$H$5:$H$54,$X33)&lt;&gt;"","Vacant. A signed lease starts on the Lease start date.","Vacant."),""))</f>
        <v/>
      </c>
      <c r="U33" s="16" t="str">
        <f>IF($W33="L",IF(INDEX(Leases!$R$5:$R$34,$X33)="","",INDEX(Leases!$R$5:$R$34,$X33)),IF($W33="V",IF(INDEX(Units!$D$5:$D$54,$X33)="","",INDEX(Units!$D$5:$D$54,$X33)),""))</f>
        <v/>
      </c>
      <c r="W33" s="15" t="str">
        <f>IF((ROW()-ROW($A$9))&lt;=$W$7,"L",IF((ROW()-ROW($A$9))&lt;=$W$7+$X$7,"V",""))</f>
        <v/>
      </c>
      <c r="X33" s="15" t="str">
        <f>IF(W33="L",MATCH((ROW()-ROW($A$9)),Leases!$AQ$5:$AQ$34,0),IF(W33="V",MATCH((ROW()-ROW($A$9))-$W$7,Units!$J$5:$J$54,0),""))</f>
        <v/>
      </c>
      <c r="Y33" s="15">
        <f>IF(W33="L",INDEX(Leases!$AI$5:$AI$34,$X33),0)</f>
        <v>0</v>
      </c>
    </row>
    <row r="34">
      <c r="A34" s="15" t="str">
        <f>IF($W34="","",(ROW()-ROW($A$9)))</f>
        <v/>
      </c>
      <c r="B34" s="16" t="str">
        <f>IF($W34="L",IF(INDEX(Leases!$A$5:$A$34,$X34)="","",INDEX(Leases!$A$5:$A$34,$X34)),IF($W34="V","Vacant",""))</f>
        <v/>
      </c>
      <c r="C34" s="16" t="str">
        <f>IF($W34="L",IF(INDEX(Leases!$V$5:$V$34,$X34)="","",INDEX(Leases!$V$5:$V$34,$X34)),IF($W34="V",IF(INDEX(Units!$A$5:$A$54,$X34)="","",INDEX(Units!$A$5:$A$54,$X34)),""))</f>
        <v/>
      </c>
      <c r="D34" s="16" t="str">
        <f>IF($W34="L",IF(INDEX(Leases!$B$5:$B$34,$X34)="","",INDEX(Leases!$B$5:$B$34,$X34)),IF($W34="V","",""))</f>
        <v/>
      </c>
      <c r="E34" s="17" t="str">
        <f>IF($W34="L",INDEX(Leases!$W$5:$W$34,$X34),IF($W34="V",IF(INDEX(Units!$B$5:$B$54,$X34)="","",INDEX(Units!$B$5:$B$54,$X34)),""))</f>
        <v/>
      </c>
      <c r="F34" s="18" t="str">
        <f>IF($W34="L",IF(INDEX(Leases!$C$5:$C$34,$X34)="","",INDEX(Leases!$C$5:$C$34,$X34)),IF($W34="V",IF(INDEX(Units!$H$5:$H$54,$X34)="","",INDEX(Units!$H$5:$H$54,$X34)),""))</f>
        <v/>
      </c>
      <c r="G34" s="18" t="str">
        <f>IF($W34="L",IF(INDEX(Leases!$D$5:$D$34,$X34)="","No end date",INDEX(Leases!$D$5:$D$34,$X34)),IF($W34="V","",""))</f>
        <v/>
      </c>
      <c r="H34" s="18" t="str">
        <f>IF($W34="L",IF(INDEX(Leases!$E$5:$E$34,$X34)="","",INDEX(Leases!$E$5:$E$34,$X34)),IF($W34="V","",""))</f>
        <v/>
      </c>
      <c r="I34" s="19" t="str">
        <f>IF($W34="L",IF(INDEX(Leases!$X$5:$X$34,$X34)="","",INDEX(Leases!$X$5:$X$34,$X34)),IF($W34="V","",""))</f>
        <v/>
      </c>
      <c r="J34" s="19" t="str">
        <f>IF($W34="L",IF(INDEX(Leases!$Z$5:$Z$34,$X34)="","",INDEX(Leases!$Z$5:$Z$34,$X34)),IF($W34="V","",""))</f>
        <v/>
      </c>
      <c r="K34" s="19" t="str">
        <f>IF($W34="L",IF(INDEX(Leases!$Y$5:$Y$34,$X34)="","",INDEX(Leases!$Y$5:$Y$34,$X34)),IF($W34="V","",""))</f>
        <v/>
      </c>
      <c r="L34" s="19" t="str">
        <f>IF($W34="L",IF(INDEX(Leases!$M$5:$M$34,$X34)="","",INDEX(Leases!$M$5:$M$34,$X34)),IF($W34="V","",""))</f>
        <v/>
      </c>
      <c r="M34" s="18" t="str">
        <f>IF($W34="L",IF(INDEX(Leases!$AA$5:$AA$34,$X34)="","",INDEX(Leases!$AA$5:$AA$34,$X34)),IF($W34="V","",""))</f>
        <v/>
      </c>
      <c r="N34" s="19" t="str">
        <f>IF($W34="L",IF(INDEX(Leases!$AB$5:$AB$34,$X34)="","",INDEX(Leases!$AB$5:$AB$34,$X34)),IF($W34="V","",""))</f>
        <v/>
      </c>
      <c r="O34" s="20" t="str">
        <f>IF($W34="L",IF(INDEX(Leases!$AD$5:$AD$34,$X34)=1,INDEX(Leases!$J$5:$J$34,$X34),""),IF($W34="V","",""))</f>
        <v/>
      </c>
      <c r="P34" s="18" t="str">
        <f>IF($W34="L",IF(INDEX(Leases!$AD$5:$AD$34,$X34)=1,INDEX(Leases!$L$5:$L$34,$X34),""),IF($W34="V","",""))</f>
        <v/>
      </c>
      <c r="Q34" s="19" t="str">
        <f>IF($W34="L",INDEX(Leases!$AE$5:$AE$34,$X34),IF($W34="V","",""))</f>
        <v/>
      </c>
      <c r="R34" s="19" t="str">
        <f>IF($W34="L",INDEX(Leases!$AF$5:$AF$34,$X34),IF($W34="V","",""))</f>
        <v/>
      </c>
      <c r="S34" s="19" t="str">
        <f>IF($W34="L",IF(INDEX(Leases!$AH$5:$AH$34,$X34)="","",INDEX(Leases!$AH$5:$AH$34,$X34)),IF($W34="V","",""))</f>
        <v/>
      </c>
      <c r="T34" s="16" t="str">
        <f>IF($W34="L",TRIM(IF(INDEX(Leases!$AJ$5:$AJ$34,$X34)=1,"Awaiting index: not in rent totals. ","")&amp;IF(INDEX(Leases!$AC$5:$AC$34,$X34)=1,"Rent not started. ","")&amp;IF(INDEX(Leases!$AD$5:$AD$34,$X34)=1,"Abated on the date. ","")&amp;IF(INDEX(Leases!$AG$5:$AG$34,$X34)=1,"Letter of credit expired. ","")),IF($W34="V",IF(INDEX(Units!$H$5:$H$54,$X34)&lt;&gt;"","Vacant. A signed lease starts on the Lease start date.","Vacant."),""))</f>
        <v/>
      </c>
      <c r="U34" s="16" t="str">
        <f>IF($W34="L",IF(INDEX(Leases!$R$5:$R$34,$X34)="","",INDEX(Leases!$R$5:$R$34,$X34)),IF($W34="V",IF(INDEX(Units!$D$5:$D$54,$X34)="","",INDEX(Units!$D$5:$D$54,$X34)),""))</f>
        <v/>
      </c>
      <c r="W34" s="15" t="str">
        <f>IF((ROW()-ROW($A$9))&lt;=$W$7,"L",IF((ROW()-ROW($A$9))&lt;=$W$7+$X$7,"V",""))</f>
        <v/>
      </c>
      <c r="X34" s="15" t="str">
        <f>IF(W34="L",MATCH((ROW()-ROW($A$9)),Leases!$AQ$5:$AQ$34,0),IF(W34="V",MATCH((ROW()-ROW($A$9))-$W$7,Units!$J$5:$J$54,0),""))</f>
        <v/>
      </c>
      <c r="Y34" s="15">
        <f>IF(W34="L",INDEX(Leases!$AI$5:$AI$34,$X34),0)</f>
        <v>0</v>
      </c>
    </row>
    <row r="35">
      <c r="A35" s="15" t="str">
        <f>IF($W35="","",(ROW()-ROW($A$9)))</f>
        <v/>
      </c>
      <c r="B35" s="16" t="str">
        <f>IF($W35="L",IF(INDEX(Leases!$A$5:$A$34,$X35)="","",INDEX(Leases!$A$5:$A$34,$X35)),IF($W35="V","Vacant",""))</f>
        <v/>
      </c>
      <c r="C35" s="16" t="str">
        <f>IF($W35="L",IF(INDEX(Leases!$V$5:$V$34,$X35)="","",INDEX(Leases!$V$5:$V$34,$X35)),IF($W35="V",IF(INDEX(Units!$A$5:$A$54,$X35)="","",INDEX(Units!$A$5:$A$54,$X35)),""))</f>
        <v/>
      </c>
      <c r="D35" s="16" t="str">
        <f>IF($W35="L",IF(INDEX(Leases!$B$5:$B$34,$X35)="","",INDEX(Leases!$B$5:$B$34,$X35)),IF($W35="V","",""))</f>
        <v/>
      </c>
      <c r="E35" s="17" t="str">
        <f>IF($W35="L",INDEX(Leases!$W$5:$W$34,$X35),IF($W35="V",IF(INDEX(Units!$B$5:$B$54,$X35)="","",INDEX(Units!$B$5:$B$54,$X35)),""))</f>
        <v/>
      </c>
      <c r="F35" s="18" t="str">
        <f>IF($W35="L",IF(INDEX(Leases!$C$5:$C$34,$X35)="","",INDEX(Leases!$C$5:$C$34,$X35)),IF($W35="V",IF(INDEX(Units!$H$5:$H$54,$X35)="","",INDEX(Units!$H$5:$H$54,$X35)),""))</f>
        <v/>
      </c>
      <c r="G35" s="18" t="str">
        <f>IF($W35="L",IF(INDEX(Leases!$D$5:$D$34,$X35)="","No end date",INDEX(Leases!$D$5:$D$34,$X35)),IF($W35="V","",""))</f>
        <v/>
      </c>
      <c r="H35" s="18" t="str">
        <f>IF($W35="L",IF(INDEX(Leases!$E$5:$E$34,$X35)="","",INDEX(Leases!$E$5:$E$34,$X35)),IF($W35="V","",""))</f>
        <v/>
      </c>
      <c r="I35" s="19" t="str">
        <f>IF($W35="L",IF(INDEX(Leases!$X$5:$X$34,$X35)="","",INDEX(Leases!$X$5:$X$34,$X35)),IF($W35="V","",""))</f>
        <v/>
      </c>
      <c r="J35" s="19" t="str">
        <f>IF($W35="L",IF(INDEX(Leases!$Z$5:$Z$34,$X35)="","",INDEX(Leases!$Z$5:$Z$34,$X35)),IF($W35="V","",""))</f>
        <v/>
      </c>
      <c r="K35" s="19" t="str">
        <f>IF($W35="L",IF(INDEX(Leases!$Y$5:$Y$34,$X35)="","",INDEX(Leases!$Y$5:$Y$34,$X35)),IF($W35="V","",""))</f>
        <v/>
      </c>
      <c r="L35" s="19" t="str">
        <f>IF($W35="L",IF(INDEX(Leases!$M$5:$M$34,$X35)="","",INDEX(Leases!$M$5:$M$34,$X35)),IF($W35="V","",""))</f>
        <v/>
      </c>
      <c r="M35" s="18" t="str">
        <f>IF($W35="L",IF(INDEX(Leases!$AA$5:$AA$34,$X35)="","",INDEX(Leases!$AA$5:$AA$34,$X35)),IF($W35="V","",""))</f>
        <v/>
      </c>
      <c r="N35" s="19" t="str">
        <f>IF($W35="L",IF(INDEX(Leases!$AB$5:$AB$34,$X35)="","",INDEX(Leases!$AB$5:$AB$34,$X35)),IF($W35="V","",""))</f>
        <v/>
      </c>
      <c r="O35" s="20" t="str">
        <f>IF($W35="L",IF(INDEX(Leases!$AD$5:$AD$34,$X35)=1,INDEX(Leases!$J$5:$J$34,$X35),""),IF($W35="V","",""))</f>
        <v/>
      </c>
      <c r="P35" s="18" t="str">
        <f>IF($W35="L",IF(INDEX(Leases!$AD$5:$AD$34,$X35)=1,INDEX(Leases!$L$5:$L$34,$X35),""),IF($W35="V","",""))</f>
        <v/>
      </c>
      <c r="Q35" s="19" t="str">
        <f>IF($W35="L",INDEX(Leases!$AE$5:$AE$34,$X35),IF($W35="V","",""))</f>
        <v/>
      </c>
      <c r="R35" s="19" t="str">
        <f>IF($W35="L",INDEX(Leases!$AF$5:$AF$34,$X35),IF($W35="V","",""))</f>
        <v/>
      </c>
      <c r="S35" s="19" t="str">
        <f>IF($W35="L",IF(INDEX(Leases!$AH$5:$AH$34,$X35)="","",INDEX(Leases!$AH$5:$AH$34,$X35)),IF($W35="V","",""))</f>
        <v/>
      </c>
      <c r="T35" s="16" t="str">
        <f>IF($W35="L",TRIM(IF(INDEX(Leases!$AJ$5:$AJ$34,$X35)=1,"Awaiting index: not in rent totals. ","")&amp;IF(INDEX(Leases!$AC$5:$AC$34,$X35)=1,"Rent not started. ","")&amp;IF(INDEX(Leases!$AD$5:$AD$34,$X35)=1,"Abated on the date. ","")&amp;IF(INDEX(Leases!$AG$5:$AG$34,$X35)=1,"Letter of credit expired. ","")),IF($W35="V",IF(INDEX(Units!$H$5:$H$54,$X35)&lt;&gt;"","Vacant. A signed lease starts on the Lease start date.","Vacant."),""))</f>
        <v/>
      </c>
      <c r="U35" s="16" t="str">
        <f>IF($W35="L",IF(INDEX(Leases!$R$5:$R$34,$X35)="","",INDEX(Leases!$R$5:$R$34,$X35)),IF($W35="V",IF(INDEX(Units!$D$5:$D$54,$X35)="","",INDEX(Units!$D$5:$D$54,$X35)),""))</f>
        <v/>
      </c>
      <c r="W35" s="15" t="str">
        <f>IF((ROW()-ROW($A$9))&lt;=$W$7,"L",IF((ROW()-ROW($A$9))&lt;=$W$7+$X$7,"V",""))</f>
        <v/>
      </c>
      <c r="X35" s="15" t="str">
        <f>IF(W35="L",MATCH((ROW()-ROW($A$9)),Leases!$AQ$5:$AQ$34,0),IF(W35="V",MATCH((ROW()-ROW($A$9))-$W$7,Units!$J$5:$J$54,0),""))</f>
        <v/>
      </c>
      <c r="Y35" s="15">
        <f>IF(W35="L",INDEX(Leases!$AI$5:$AI$34,$X35),0)</f>
        <v>0</v>
      </c>
    </row>
    <row r="36">
      <c r="A36" s="15" t="str">
        <f>IF($W36="","",(ROW()-ROW($A$9)))</f>
        <v/>
      </c>
      <c r="B36" s="16" t="str">
        <f>IF($W36="L",IF(INDEX(Leases!$A$5:$A$34,$X36)="","",INDEX(Leases!$A$5:$A$34,$X36)),IF($W36="V","Vacant",""))</f>
        <v/>
      </c>
      <c r="C36" s="16" t="str">
        <f>IF($W36="L",IF(INDEX(Leases!$V$5:$V$34,$X36)="","",INDEX(Leases!$V$5:$V$34,$X36)),IF($W36="V",IF(INDEX(Units!$A$5:$A$54,$X36)="","",INDEX(Units!$A$5:$A$54,$X36)),""))</f>
        <v/>
      </c>
      <c r="D36" s="16" t="str">
        <f>IF($W36="L",IF(INDEX(Leases!$B$5:$B$34,$X36)="","",INDEX(Leases!$B$5:$B$34,$X36)),IF($W36="V","",""))</f>
        <v/>
      </c>
      <c r="E36" s="17" t="str">
        <f>IF($W36="L",INDEX(Leases!$W$5:$W$34,$X36),IF($W36="V",IF(INDEX(Units!$B$5:$B$54,$X36)="","",INDEX(Units!$B$5:$B$54,$X36)),""))</f>
        <v/>
      </c>
      <c r="F36" s="18" t="str">
        <f>IF($W36="L",IF(INDEX(Leases!$C$5:$C$34,$X36)="","",INDEX(Leases!$C$5:$C$34,$X36)),IF($W36="V",IF(INDEX(Units!$H$5:$H$54,$X36)="","",INDEX(Units!$H$5:$H$54,$X36)),""))</f>
        <v/>
      </c>
      <c r="G36" s="18" t="str">
        <f>IF($W36="L",IF(INDEX(Leases!$D$5:$D$34,$X36)="","No end date",INDEX(Leases!$D$5:$D$34,$X36)),IF($W36="V","",""))</f>
        <v/>
      </c>
      <c r="H36" s="18" t="str">
        <f>IF($W36="L",IF(INDEX(Leases!$E$5:$E$34,$X36)="","",INDEX(Leases!$E$5:$E$34,$X36)),IF($W36="V","",""))</f>
        <v/>
      </c>
      <c r="I36" s="19" t="str">
        <f>IF($W36="L",IF(INDEX(Leases!$X$5:$X$34,$X36)="","",INDEX(Leases!$X$5:$X$34,$X36)),IF($W36="V","",""))</f>
        <v/>
      </c>
      <c r="J36" s="19" t="str">
        <f>IF($W36="L",IF(INDEX(Leases!$Z$5:$Z$34,$X36)="","",INDEX(Leases!$Z$5:$Z$34,$X36)),IF($W36="V","",""))</f>
        <v/>
      </c>
      <c r="K36" s="19" t="str">
        <f>IF($W36="L",IF(INDEX(Leases!$Y$5:$Y$34,$X36)="","",INDEX(Leases!$Y$5:$Y$34,$X36)),IF($W36="V","",""))</f>
        <v/>
      </c>
      <c r="L36" s="19" t="str">
        <f>IF($W36="L",IF(INDEX(Leases!$M$5:$M$34,$X36)="","",INDEX(Leases!$M$5:$M$34,$X36)),IF($W36="V","",""))</f>
        <v/>
      </c>
      <c r="M36" s="18" t="str">
        <f>IF($W36="L",IF(INDEX(Leases!$AA$5:$AA$34,$X36)="","",INDEX(Leases!$AA$5:$AA$34,$X36)),IF($W36="V","",""))</f>
        <v/>
      </c>
      <c r="N36" s="19" t="str">
        <f>IF($W36="L",IF(INDEX(Leases!$AB$5:$AB$34,$X36)="","",INDEX(Leases!$AB$5:$AB$34,$X36)),IF($W36="V","",""))</f>
        <v/>
      </c>
      <c r="O36" s="20" t="str">
        <f>IF($W36="L",IF(INDEX(Leases!$AD$5:$AD$34,$X36)=1,INDEX(Leases!$J$5:$J$34,$X36),""),IF($W36="V","",""))</f>
        <v/>
      </c>
      <c r="P36" s="18" t="str">
        <f>IF($W36="L",IF(INDEX(Leases!$AD$5:$AD$34,$X36)=1,INDEX(Leases!$L$5:$L$34,$X36),""),IF($W36="V","",""))</f>
        <v/>
      </c>
      <c r="Q36" s="19" t="str">
        <f>IF($W36="L",INDEX(Leases!$AE$5:$AE$34,$X36),IF($W36="V","",""))</f>
        <v/>
      </c>
      <c r="R36" s="19" t="str">
        <f>IF($W36="L",INDEX(Leases!$AF$5:$AF$34,$X36),IF($W36="V","",""))</f>
        <v/>
      </c>
      <c r="S36" s="19" t="str">
        <f>IF($W36="L",IF(INDEX(Leases!$AH$5:$AH$34,$X36)="","",INDEX(Leases!$AH$5:$AH$34,$X36)),IF($W36="V","",""))</f>
        <v/>
      </c>
      <c r="T36" s="16" t="str">
        <f>IF($W36="L",TRIM(IF(INDEX(Leases!$AJ$5:$AJ$34,$X36)=1,"Awaiting index: not in rent totals. ","")&amp;IF(INDEX(Leases!$AC$5:$AC$34,$X36)=1,"Rent not started. ","")&amp;IF(INDEX(Leases!$AD$5:$AD$34,$X36)=1,"Abated on the date. ","")&amp;IF(INDEX(Leases!$AG$5:$AG$34,$X36)=1,"Letter of credit expired. ","")),IF($W36="V",IF(INDEX(Units!$H$5:$H$54,$X36)&lt;&gt;"","Vacant. A signed lease starts on the Lease start date.","Vacant."),""))</f>
        <v/>
      </c>
      <c r="U36" s="16" t="str">
        <f>IF($W36="L",IF(INDEX(Leases!$R$5:$R$34,$X36)="","",INDEX(Leases!$R$5:$R$34,$X36)),IF($W36="V",IF(INDEX(Units!$D$5:$D$54,$X36)="","",INDEX(Units!$D$5:$D$54,$X36)),""))</f>
        <v/>
      </c>
      <c r="W36" s="15" t="str">
        <f>IF((ROW()-ROW($A$9))&lt;=$W$7,"L",IF((ROW()-ROW($A$9))&lt;=$W$7+$X$7,"V",""))</f>
        <v/>
      </c>
      <c r="X36" s="15" t="str">
        <f>IF(W36="L",MATCH((ROW()-ROW($A$9)),Leases!$AQ$5:$AQ$34,0),IF(W36="V",MATCH((ROW()-ROW($A$9))-$W$7,Units!$J$5:$J$54,0),""))</f>
        <v/>
      </c>
      <c r="Y36" s="15">
        <f>IF(W36="L",INDEX(Leases!$AI$5:$AI$34,$X36),0)</f>
        <v>0</v>
      </c>
    </row>
    <row r="37">
      <c r="A37" s="15" t="str">
        <f>IF($W37="","",(ROW()-ROW($A$9)))</f>
        <v/>
      </c>
      <c r="B37" s="16" t="str">
        <f>IF($W37="L",IF(INDEX(Leases!$A$5:$A$34,$X37)="","",INDEX(Leases!$A$5:$A$34,$X37)),IF($W37="V","Vacant",""))</f>
        <v/>
      </c>
      <c r="C37" s="16" t="str">
        <f>IF($W37="L",IF(INDEX(Leases!$V$5:$V$34,$X37)="","",INDEX(Leases!$V$5:$V$34,$X37)),IF($W37="V",IF(INDEX(Units!$A$5:$A$54,$X37)="","",INDEX(Units!$A$5:$A$54,$X37)),""))</f>
        <v/>
      </c>
      <c r="D37" s="16" t="str">
        <f>IF($W37="L",IF(INDEX(Leases!$B$5:$B$34,$X37)="","",INDEX(Leases!$B$5:$B$34,$X37)),IF($W37="V","",""))</f>
        <v/>
      </c>
      <c r="E37" s="17" t="str">
        <f>IF($W37="L",INDEX(Leases!$W$5:$W$34,$X37),IF($W37="V",IF(INDEX(Units!$B$5:$B$54,$X37)="","",INDEX(Units!$B$5:$B$54,$X37)),""))</f>
        <v/>
      </c>
      <c r="F37" s="18" t="str">
        <f>IF($W37="L",IF(INDEX(Leases!$C$5:$C$34,$X37)="","",INDEX(Leases!$C$5:$C$34,$X37)),IF($W37="V",IF(INDEX(Units!$H$5:$H$54,$X37)="","",INDEX(Units!$H$5:$H$54,$X37)),""))</f>
        <v/>
      </c>
      <c r="G37" s="18" t="str">
        <f>IF($W37="L",IF(INDEX(Leases!$D$5:$D$34,$X37)="","No end date",INDEX(Leases!$D$5:$D$34,$X37)),IF($W37="V","",""))</f>
        <v/>
      </c>
      <c r="H37" s="18" t="str">
        <f>IF($W37="L",IF(INDEX(Leases!$E$5:$E$34,$X37)="","",INDEX(Leases!$E$5:$E$34,$X37)),IF($W37="V","",""))</f>
        <v/>
      </c>
      <c r="I37" s="19" t="str">
        <f>IF($W37="L",IF(INDEX(Leases!$X$5:$X$34,$X37)="","",INDEX(Leases!$X$5:$X$34,$X37)),IF($W37="V","",""))</f>
        <v/>
      </c>
      <c r="J37" s="19" t="str">
        <f>IF($W37="L",IF(INDEX(Leases!$Z$5:$Z$34,$X37)="","",INDEX(Leases!$Z$5:$Z$34,$X37)),IF($W37="V","",""))</f>
        <v/>
      </c>
      <c r="K37" s="19" t="str">
        <f>IF($W37="L",IF(INDEX(Leases!$Y$5:$Y$34,$X37)="","",INDEX(Leases!$Y$5:$Y$34,$X37)),IF($W37="V","",""))</f>
        <v/>
      </c>
      <c r="L37" s="19" t="str">
        <f>IF($W37="L",IF(INDEX(Leases!$M$5:$M$34,$X37)="","",INDEX(Leases!$M$5:$M$34,$X37)),IF($W37="V","",""))</f>
        <v/>
      </c>
      <c r="M37" s="18" t="str">
        <f>IF($W37="L",IF(INDEX(Leases!$AA$5:$AA$34,$X37)="","",INDEX(Leases!$AA$5:$AA$34,$X37)),IF($W37="V","",""))</f>
        <v/>
      </c>
      <c r="N37" s="19" t="str">
        <f>IF($W37="L",IF(INDEX(Leases!$AB$5:$AB$34,$X37)="","",INDEX(Leases!$AB$5:$AB$34,$X37)),IF($W37="V","",""))</f>
        <v/>
      </c>
      <c r="O37" s="20" t="str">
        <f>IF($W37="L",IF(INDEX(Leases!$AD$5:$AD$34,$X37)=1,INDEX(Leases!$J$5:$J$34,$X37),""),IF($W37="V","",""))</f>
        <v/>
      </c>
      <c r="P37" s="18" t="str">
        <f>IF($W37="L",IF(INDEX(Leases!$AD$5:$AD$34,$X37)=1,INDEX(Leases!$L$5:$L$34,$X37),""),IF($W37="V","",""))</f>
        <v/>
      </c>
      <c r="Q37" s="19" t="str">
        <f>IF($W37="L",INDEX(Leases!$AE$5:$AE$34,$X37),IF($W37="V","",""))</f>
        <v/>
      </c>
      <c r="R37" s="19" t="str">
        <f>IF($W37="L",INDEX(Leases!$AF$5:$AF$34,$X37),IF($W37="V","",""))</f>
        <v/>
      </c>
      <c r="S37" s="19" t="str">
        <f>IF($W37="L",IF(INDEX(Leases!$AH$5:$AH$34,$X37)="","",INDEX(Leases!$AH$5:$AH$34,$X37)),IF($W37="V","",""))</f>
        <v/>
      </c>
      <c r="T37" s="16" t="str">
        <f>IF($W37="L",TRIM(IF(INDEX(Leases!$AJ$5:$AJ$34,$X37)=1,"Awaiting index: not in rent totals. ","")&amp;IF(INDEX(Leases!$AC$5:$AC$34,$X37)=1,"Rent not started. ","")&amp;IF(INDEX(Leases!$AD$5:$AD$34,$X37)=1,"Abated on the date. ","")&amp;IF(INDEX(Leases!$AG$5:$AG$34,$X37)=1,"Letter of credit expired. ","")),IF($W37="V",IF(INDEX(Units!$H$5:$H$54,$X37)&lt;&gt;"","Vacant. A signed lease starts on the Lease start date.","Vacant."),""))</f>
        <v/>
      </c>
      <c r="U37" s="16" t="str">
        <f>IF($W37="L",IF(INDEX(Leases!$R$5:$R$34,$X37)="","",INDEX(Leases!$R$5:$R$34,$X37)),IF($W37="V",IF(INDEX(Units!$D$5:$D$54,$X37)="","",INDEX(Units!$D$5:$D$54,$X37)),""))</f>
        <v/>
      </c>
      <c r="W37" s="15" t="str">
        <f>IF((ROW()-ROW($A$9))&lt;=$W$7,"L",IF((ROW()-ROW($A$9))&lt;=$W$7+$X$7,"V",""))</f>
        <v/>
      </c>
      <c r="X37" s="15" t="str">
        <f>IF(W37="L",MATCH((ROW()-ROW($A$9)),Leases!$AQ$5:$AQ$34,0),IF(W37="V",MATCH((ROW()-ROW($A$9))-$W$7,Units!$J$5:$J$54,0),""))</f>
        <v/>
      </c>
      <c r="Y37" s="15">
        <f>IF(W37="L",INDEX(Leases!$AI$5:$AI$34,$X37),0)</f>
        <v>0</v>
      </c>
    </row>
    <row r="38">
      <c r="A38" s="15" t="str">
        <f>IF($W38="","",(ROW()-ROW($A$9)))</f>
        <v/>
      </c>
      <c r="B38" s="16" t="str">
        <f>IF($W38="L",IF(INDEX(Leases!$A$5:$A$34,$X38)="","",INDEX(Leases!$A$5:$A$34,$X38)),IF($W38="V","Vacant",""))</f>
        <v/>
      </c>
      <c r="C38" s="16" t="str">
        <f>IF($W38="L",IF(INDEX(Leases!$V$5:$V$34,$X38)="","",INDEX(Leases!$V$5:$V$34,$X38)),IF($W38="V",IF(INDEX(Units!$A$5:$A$54,$X38)="","",INDEX(Units!$A$5:$A$54,$X38)),""))</f>
        <v/>
      </c>
      <c r="D38" s="16" t="str">
        <f>IF($W38="L",IF(INDEX(Leases!$B$5:$B$34,$X38)="","",INDEX(Leases!$B$5:$B$34,$X38)),IF($W38="V","",""))</f>
        <v/>
      </c>
      <c r="E38" s="17" t="str">
        <f>IF($W38="L",INDEX(Leases!$W$5:$W$34,$X38),IF($W38="V",IF(INDEX(Units!$B$5:$B$54,$X38)="","",INDEX(Units!$B$5:$B$54,$X38)),""))</f>
        <v/>
      </c>
      <c r="F38" s="18" t="str">
        <f>IF($W38="L",IF(INDEX(Leases!$C$5:$C$34,$X38)="","",INDEX(Leases!$C$5:$C$34,$X38)),IF($W38="V",IF(INDEX(Units!$H$5:$H$54,$X38)="","",INDEX(Units!$H$5:$H$54,$X38)),""))</f>
        <v/>
      </c>
      <c r="G38" s="18" t="str">
        <f>IF($W38="L",IF(INDEX(Leases!$D$5:$D$34,$X38)="","No end date",INDEX(Leases!$D$5:$D$34,$X38)),IF($W38="V","",""))</f>
        <v/>
      </c>
      <c r="H38" s="18" t="str">
        <f>IF($W38="L",IF(INDEX(Leases!$E$5:$E$34,$X38)="","",INDEX(Leases!$E$5:$E$34,$X38)),IF($W38="V","",""))</f>
        <v/>
      </c>
      <c r="I38" s="19" t="str">
        <f>IF($W38="L",IF(INDEX(Leases!$X$5:$X$34,$X38)="","",INDEX(Leases!$X$5:$X$34,$X38)),IF($W38="V","",""))</f>
        <v/>
      </c>
      <c r="J38" s="19" t="str">
        <f>IF($W38="L",IF(INDEX(Leases!$Z$5:$Z$34,$X38)="","",INDEX(Leases!$Z$5:$Z$34,$X38)),IF($W38="V","",""))</f>
        <v/>
      </c>
      <c r="K38" s="19" t="str">
        <f>IF($W38="L",IF(INDEX(Leases!$Y$5:$Y$34,$X38)="","",INDEX(Leases!$Y$5:$Y$34,$X38)),IF($W38="V","",""))</f>
        <v/>
      </c>
      <c r="L38" s="19" t="str">
        <f>IF($W38="L",IF(INDEX(Leases!$M$5:$M$34,$X38)="","",INDEX(Leases!$M$5:$M$34,$X38)),IF($W38="V","",""))</f>
        <v/>
      </c>
      <c r="M38" s="18" t="str">
        <f>IF($W38="L",IF(INDEX(Leases!$AA$5:$AA$34,$X38)="","",INDEX(Leases!$AA$5:$AA$34,$X38)),IF($W38="V","",""))</f>
        <v/>
      </c>
      <c r="N38" s="19" t="str">
        <f>IF($W38="L",IF(INDEX(Leases!$AB$5:$AB$34,$X38)="","",INDEX(Leases!$AB$5:$AB$34,$X38)),IF($W38="V","",""))</f>
        <v/>
      </c>
      <c r="O38" s="20" t="str">
        <f>IF($W38="L",IF(INDEX(Leases!$AD$5:$AD$34,$X38)=1,INDEX(Leases!$J$5:$J$34,$X38),""),IF($W38="V","",""))</f>
        <v/>
      </c>
      <c r="P38" s="18" t="str">
        <f>IF($W38="L",IF(INDEX(Leases!$AD$5:$AD$34,$X38)=1,INDEX(Leases!$L$5:$L$34,$X38),""),IF($W38="V","",""))</f>
        <v/>
      </c>
      <c r="Q38" s="19" t="str">
        <f>IF($W38="L",INDEX(Leases!$AE$5:$AE$34,$X38),IF($W38="V","",""))</f>
        <v/>
      </c>
      <c r="R38" s="19" t="str">
        <f>IF($W38="L",INDEX(Leases!$AF$5:$AF$34,$X38),IF($W38="V","",""))</f>
        <v/>
      </c>
      <c r="S38" s="19" t="str">
        <f>IF($W38="L",IF(INDEX(Leases!$AH$5:$AH$34,$X38)="","",INDEX(Leases!$AH$5:$AH$34,$X38)),IF($W38="V","",""))</f>
        <v/>
      </c>
      <c r="T38" s="16" t="str">
        <f>IF($W38="L",TRIM(IF(INDEX(Leases!$AJ$5:$AJ$34,$X38)=1,"Awaiting index: not in rent totals. ","")&amp;IF(INDEX(Leases!$AC$5:$AC$34,$X38)=1,"Rent not started. ","")&amp;IF(INDEX(Leases!$AD$5:$AD$34,$X38)=1,"Abated on the date. ","")&amp;IF(INDEX(Leases!$AG$5:$AG$34,$X38)=1,"Letter of credit expired. ","")),IF($W38="V",IF(INDEX(Units!$H$5:$H$54,$X38)&lt;&gt;"","Vacant. A signed lease starts on the Lease start date.","Vacant."),""))</f>
        <v/>
      </c>
      <c r="U38" s="16" t="str">
        <f>IF($W38="L",IF(INDEX(Leases!$R$5:$R$34,$X38)="","",INDEX(Leases!$R$5:$R$34,$X38)),IF($W38="V",IF(INDEX(Units!$D$5:$D$54,$X38)="","",INDEX(Units!$D$5:$D$54,$X38)),""))</f>
        <v/>
      </c>
      <c r="W38" s="15" t="str">
        <f>IF((ROW()-ROW($A$9))&lt;=$W$7,"L",IF((ROW()-ROW($A$9))&lt;=$W$7+$X$7,"V",""))</f>
        <v/>
      </c>
      <c r="X38" s="15" t="str">
        <f>IF(W38="L",MATCH((ROW()-ROW($A$9)),Leases!$AQ$5:$AQ$34,0),IF(W38="V",MATCH((ROW()-ROW($A$9))-$W$7,Units!$J$5:$J$54,0),""))</f>
        <v/>
      </c>
      <c r="Y38" s="15">
        <f>IF(W38="L",INDEX(Leases!$AI$5:$AI$34,$X38),0)</f>
        <v>0</v>
      </c>
    </row>
    <row r="39">
      <c r="A39" s="15" t="str">
        <f>IF($W39="","",(ROW()-ROW($A$9)))</f>
        <v/>
      </c>
      <c r="B39" s="16" t="str">
        <f>IF($W39="L",IF(INDEX(Leases!$A$5:$A$34,$X39)="","",INDEX(Leases!$A$5:$A$34,$X39)),IF($W39="V","Vacant",""))</f>
        <v/>
      </c>
      <c r="C39" s="16" t="str">
        <f>IF($W39="L",IF(INDEX(Leases!$V$5:$V$34,$X39)="","",INDEX(Leases!$V$5:$V$34,$X39)),IF($W39="V",IF(INDEX(Units!$A$5:$A$54,$X39)="","",INDEX(Units!$A$5:$A$54,$X39)),""))</f>
        <v/>
      </c>
      <c r="D39" s="16" t="str">
        <f>IF($W39="L",IF(INDEX(Leases!$B$5:$B$34,$X39)="","",INDEX(Leases!$B$5:$B$34,$X39)),IF($W39="V","",""))</f>
        <v/>
      </c>
      <c r="E39" s="17" t="str">
        <f>IF($W39="L",INDEX(Leases!$W$5:$W$34,$X39),IF($W39="V",IF(INDEX(Units!$B$5:$B$54,$X39)="","",INDEX(Units!$B$5:$B$54,$X39)),""))</f>
        <v/>
      </c>
      <c r="F39" s="18" t="str">
        <f>IF($W39="L",IF(INDEX(Leases!$C$5:$C$34,$X39)="","",INDEX(Leases!$C$5:$C$34,$X39)),IF($W39="V",IF(INDEX(Units!$H$5:$H$54,$X39)="","",INDEX(Units!$H$5:$H$54,$X39)),""))</f>
        <v/>
      </c>
      <c r="G39" s="18" t="str">
        <f>IF($W39="L",IF(INDEX(Leases!$D$5:$D$34,$X39)="","No end date",INDEX(Leases!$D$5:$D$34,$X39)),IF($W39="V","",""))</f>
        <v/>
      </c>
      <c r="H39" s="18" t="str">
        <f>IF($W39="L",IF(INDEX(Leases!$E$5:$E$34,$X39)="","",INDEX(Leases!$E$5:$E$34,$X39)),IF($W39="V","",""))</f>
        <v/>
      </c>
      <c r="I39" s="19" t="str">
        <f>IF($W39="L",IF(INDEX(Leases!$X$5:$X$34,$X39)="","",INDEX(Leases!$X$5:$X$34,$X39)),IF($W39="V","",""))</f>
        <v/>
      </c>
      <c r="J39" s="19" t="str">
        <f>IF($W39="L",IF(INDEX(Leases!$Z$5:$Z$34,$X39)="","",INDEX(Leases!$Z$5:$Z$34,$X39)),IF($W39="V","",""))</f>
        <v/>
      </c>
      <c r="K39" s="19" t="str">
        <f>IF($W39="L",IF(INDEX(Leases!$Y$5:$Y$34,$X39)="","",INDEX(Leases!$Y$5:$Y$34,$X39)),IF($W39="V","",""))</f>
        <v/>
      </c>
      <c r="L39" s="19" t="str">
        <f>IF($W39="L",IF(INDEX(Leases!$M$5:$M$34,$X39)="","",INDEX(Leases!$M$5:$M$34,$X39)),IF($W39="V","",""))</f>
        <v/>
      </c>
      <c r="M39" s="18" t="str">
        <f>IF($W39="L",IF(INDEX(Leases!$AA$5:$AA$34,$X39)="","",INDEX(Leases!$AA$5:$AA$34,$X39)),IF($W39="V","",""))</f>
        <v/>
      </c>
      <c r="N39" s="19" t="str">
        <f>IF($W39="L",IF(INDEX(Leases!$AB$5:$AB$34,$X39)="","",INDEX(Leases!$AB$5:$AB$34,$X39)),IF($W39="V","",""))</f>
        <v/>
      </c>
      <c r="O39" s="20" t="str">
        <f>IF($W39="L",IF(INDEX(Leases!$AD$5:$AD$34,$X39)=1,INDEX(Leases!$J$5:$J$34,$X39),""),IF($W39="V","",""))</f>
        <v/>
      </c>
      <c r="P39" s="18" t="str">
        <f>IF($W39="L",IF(INDEX(Leases!$AD$5:$AD$34,$X39)=1,INDEX(Leases!$L$5:$L$34,$X39),""),IF($W39="V","",""))</f>
        <v/>
      </c>
      <c r="Q39" s="19" t="str">
        <f>IF($W39="L",INDEX(Leases!$AE$5:$AE$34,$X39),IF($W39="V","",""))</f>
        <v/>
      </c>
      <c r="R39" s="19" t="str">
        <f>IF($W39="L",INDEX(Leases!$AF$5:$AF$34,$X39),IF($W39="V","",""))</f>
        <v/>
      </c>
      <c r="S39" s="19" t="str">
        <f>IF($W39="L",IF(INDEX(Leases!$AH$5:$AH$34,$X39)="","",INDEX(Leases!$AH$5:$AH$34,$X39)),IF($W39="V","",""))</f>
        <v/>
      </c>
      <c r="T39" s="16" t="str">
        <f>IF($W39="L",TRIM(IF(INDEX(Leases!$AJ$5:$AJ$34,$X39)=1,"Awaiting index: not in rent totals. ","")&amp;IF(INDEX(Leases!$AC$5:$AC$34,$X39)=1,"Rent not started. ","")&amp;IF(INDEX(Leases!$AD$5:$AD$34,$X39)=1,"Abated on the date. ","")&amp;IF(INDEX(Leases!$AG$5:$AG$34,$X39)=1,"Letter of credit expired. ","")),IF($W39="V",IF(INDEX(Units!$H$5:$H$54,$X39)&lt;&gt;"","Vacant. A signed lease starts on the Lease start date.","Vacant."),""))</f>
        <v/>
      </c>
      <c r="U39" s="16" t="str">
        <f>IF($W39="L",IF(INDEX(Leases!$R$5:$R$34,$X39)="","",INDEX(Leases!$R$5:$R$34,$X39)),IF($W39="V",IF(INDEX(Units!$D$5:$D$54,$X39)="","",INDEX(Units!$D$5:$D$54,$X39)),""))</f>
        <v/>
      </c>
      <c r="W39" s="15" t="str">
        <f>IF((ROW()-ROW($A$9))&lt;=$W$7,"L",IF((ROW()-ROW($A$9))&lt;=$W$7+$X$7,"V",""))</f>
        <v/>
      </c>
      <c r="X39" s="15" t="str">
        <f>IF(W39="L",MATCH((ROW()-ROW($A$9)),Leases!$AQ$5:$AQ$34,0),IF(W39="V",MATCH((ROW()-ROW($A$9))-$W$7,Units!$J$5:$J$54,0),""))</f>
        <v/>
      </c>
      <c r="Y39" s="15">
        <f>IF(W39="L",INDEX(Leases!$AI$5:$AI$34,$X39),0)</f>
        <v>0</v>
      </c>
    </row>
    <row r="40">
      <c r="A40" s="15" t="str">
        <f>IF($W40="","",(ROW()-ROW($A$9)))</f>
        <v/>
      </c>
      <c r="B40" s="16" t="str">
        <f>IF($W40="L",IF(INDEX(Leases!$A$5:$A$34,$X40)="","",INDEX(Leases!$A$5:$A$34,$X40)),IF($W40="V","Vacant",""))</f>
        <v/>
      </c>
      <c r="C40" s="16" t="str">
        <f>IF($W40="L",IF(INDEX(Leases!$V$5:$V$34,$X40)="","",INDEX(Leases!$V$5:$V$34,$X40)),IF($W40="V",IF(INDEX(Units!$A$5:$A$54,$X40)="","",INDEX(Units!$A$5:$A$54,$X40)),""))</f>
        <v/>
      </c>
      <c r="D40" s="16" t="str">
        <f>IF($W40="L",IF(INDEX(Leases!$B$5:$B$34,$X40)="","",INDEX(Leases!$B$5:$B$34,$X40)),IF($W40="V","",""))</f>
        <v/>
      </c>
      <c r="E40" s="17" t="str">
        <f>IF($W40="L",INDEX(Leases!$W$5:$W$34,$X40),IF($W40="V",IF(INDEX(Units!$B$5:$B$54,$X40)="","",INDEX(Units!$B$5:$B$54,$X40)),""))</f>
        <v/>
      </c>
      <c r="F40" s="18" t="str">
        <f>IF($W40="L",IF(INDEX(Leases!$C$5:$C$34,$X40)="","",INDEX(Leases!$C$5:$C$34,$X40)),IF($W40="V",IF(INDEX(Units!$H$5:$H$54,$X40)="","",INDEX(Units!$H$5:$H$54,$X40)),""))</f>
        <v/>
      </c>
      <c r="G40" s="18" t="str">
        <f>IF($W40="L",IF(INDEX(Leases!$D$5:$D$34,$X40)="","No end date",INDEX(Leases!$D$5:$D$34,$X40)),IF($W40="V","",""))</f>
        <v/>
      </c>
      <c r="H40" s="18" t="str">
        <f>IF($W40="L",IF(INDEX(Leases!$E$5:$E$34,$X40)="","",INDEX(Leases!$E$5:$E$34,$X40)),IF($W40="V","",""))</f>
        <v/>
      </c>
      <c r="I40" s="19" t="str">
        <f>IF($W40="L",IF(INDEX(Leases!$X$5:$X$34,$X40)="","",INDEX(Leases!$X$5:$X$34,$X40)),IF($W40="V","",""))</f>
        <v/>
      </c>
      <c r="J40" s="19" t="str">
        <f>IF($W40="L",IF(INDEX(Leases!$Z$5:$Z$34,$X40)="","",INDEX(Leases!$Z$5:$Z$34,$X40)),IF($W40="V","",""))</f>
        <v/>
      </c>
      <c r="K40" s="19" t="str">
        <f>IF($W40="L",IF(INDEX(Leases!$Y$5:$Y$34,$X40)="","",INDEX(Leases!$Y$5:$Y$34,$X40)),IF($W40="V","",""))</f>
        <v/>
      </c>
      <c r="L40" s="19" t="str">
        <f>IF($W40="L",IF(INDEX(Leases!$M$5:$M$34,$X40)="","",INDEX(Leases!$M$5:$M$34,$X40)),IF($W40="V","",""))</f>
        <v/>
      </c>
      <c r="M40" s="18" t="str">
        <f>IF($W40="L",IF(INDEX(Leases!$AA$5:$AA$34,$X40)="","",INDEX(Leases!$AA$5:$AA$34,$X40)),IF($W40="V","",""))</f>
        <v/>
      </c>
      <c r="N40" s="19" t="str">
        <f>IF($W40="L",IF(INDEX(Leases!$AB$5:$AB$34,$X40)="","",INDEX(Leases!$AB$5:$AB$34,$X40)),IF($W40="V","",""))</f>
        <v/>
      </c>
      <c r="O40" s="20" t="str">
        <f>IF($W40="L",IF(INDEX(Leases!$AD$5:$AD$34,$X40)=1,INDEX(Leases!$J$5:$J$34,$X40),""),IF($W40="V","",""))</f>
        <v/>
      </c>
      <c r="P40" s="18" t="str">
        <f>IF($W40="L",IF(INDEX(Leases!$AD$5:$AD$34,$X40)=1,INDEX(Leases!$L$5:$L$34,$X40),""),IF($W40="V","",""))</f>
        <v/>
      </c>
      <c r="Q40" s="19" t="str">
        <f>IF($W40="L",INDEX(Leases!$AE$5:$AE$34,$X40),IF($W40="V","",""))</f>
        <v/>
      </c>
      <c r="R40" s="19" t="str">
        <f>IF($W40="L",INDEX(Leases!$AF$5:$AF$34,$X40),IF($W40="V","",""))</f>
        <v/>
      </c>
      <c r="S40" s="19" t="str">
        <f>IF($W40="L",IF(INDEX(Leases!$AH$5:$AH$34,$X40)="","",INDEX(Leases!$AH$5:$AH$34,$X40)),IF($W40="V","",""))</f>
        <v/>
      </c>
      <c r="T40" s="16" t="str">
        <f>IF($W40="L",TRIM(IF(INDEX(Leases!$AJ$5:$AJ$34,$X40)=1,"Awaiting index: not in rent totals. ","")&amp;IF(INDEX(Leases!$AC$5:$AC$34,$X40)=1,"Rent not started. ","")&amp;IF(INDEX(Leases!$AD$5:$AD$34,$X40)=1,"Abated on the date. ","")&amp;IF(INDEX(Leases!$AG$5:$AG$34,$X40)=1,"Letter of credit expired. ","")),IF($W40="V",IF(INDEX(Units!$H$5:$H$54,$X40)&lt;&gt;"","Vacant. A signed lease starts on the Lease start date.","Vacant."),""))</f>
        <v/>
      </c>
      <c r="U40" s="16" t="str">
        <f>IF($W40="L",IF(INDEX(Leases!$R$5:$R$34,$X40)="","",INDEX(Leases!$R$5:$R$34,$X40)),IF($W40="V",IF(INDEX(Units!$D$5:$D$54,$X40)="","",INDEX(Units!$D$5:$D$54,$X40)),""))</f>
        <v/>
      </c>
      <c r="W40" s="15" t="str">
        <f>IF((ROW()-ROW($A$9))&lt;=$W$7,"L",IF((ROW()-ROW($A$9))&lt;=$W$7+$X$7,"V",""))</f>
        <v/>
      </c>
      <c r="X40" s="15" t="str">
        <f>IF(W40="L",MATCH((ROW()-ROW($A$9)),Leases!$AQ$5:$AQ$34,0),IF(W40="V",MATCH((ROW()-ROW($A$9))-$W$7,Units!$J$5:$J$54,0),""))</f>
        <v/>
      </c>
      <c r="Y40" s="15">
        <f>IF(W40="L",INDEX(Leases!$AI$5:$AI$34,$X40),0)</f>
        <v>0</v>
      </c>
    </row>
    <row r="41">
      <c r="A41" s="15" t="str">
        <f>IF($W41="","",(ROW()-ROW($A$9)))</f>
        <v/>
      </c>
      <c r="B41" s="16" t="str">
        <f>IF($W41="L",IF(INDEX(Leases!$A$5:$A$34,$X41)="","",INDEX(Leases!$A$5:$A$34,$X41)),IF($W41="V","Vacant",""))</f>
        <v/>
      </c>
      <c r="C41" s="16" t="str">
        <f>IF($W41="L",IF(INDEX(Leases!$V$5:$V$34,$X41)="","",INDEX(Leases!$V$5:$V$34,$X41)),IF($W41="V",IF(INDEX(Units!$A$5:$A$54,$X41)="","",INDEX(Units!$A$5:$A$54,$X41)),""))</f>
        <v/>
      </c>
      <c r="D41" s="16" t="str">
        <f>IF($W41="L",IF(INDEX(Leases!$B$5:$B$34,$X41)="","",INDEX(Leases!$B$5:$B$34,$X41)),IF($W41="V","",""))</f>
        <v/>
      </c>
      <c r="E41" s="17" t="str">
        <f>IF($W41="L",INDEX(Leases!$W$5:$W$34,$X41),IF($W41="V",IF(INDEX(Units!$B$5:$B$54,$X41)="","",INDEX(Units!$B$5:$B$54,$X41)),""))</f>
        <v/>
      </c>
      <c r="F41" s="18" t="str">
        <f>IF($W41="L",IF(INDEX(Leases!$C$5:$C$34,$X41)="","",INDEX(Leases!$C$5:$C$34,$X41)),IF($W41="V",IF(INDEX(Units!$H$5:$H$54,$X41)="","",INDEX(Units!$H$5:$H$54,$X41)),""))</f>
        <v/>
      </c>
      <c r="G41" s="18" t="str">
        <f>IF($W41="L",IF(INDEX(Leases!$D$5:$D$34,$X41)="","No end date",INDEX(Leases!$D$5:$D$34,$X41)),IF($W41="V","",""))</f>
        <v/>
      </c>
      <c r="H41" s="18" t="str">
        <f>IF($W41="L",IF(INDEX(Leases!$E$5:$E$34,$X41)="","",INDEX(Leases!$E$5:$E$34,$X41)),IF($W41="V","",""))</f>
        <v/>
      </c>
      <c r="I41" s="19" t="str">
        <f>IF($W41="L",IF(INDEX(Leases!$X$5:$X$34,$X41)="","",INDEX(Leases!$X$5:$X$34,$X41)),IF($W41="V","",""))</f>
        <v/>
      </c>
      <c r="J41" s="19" t="str">
        <f>IF($W41="L",IF(INDEX(Leases!$Z$5:$Z$34,$X41)="","",INDEX(Leases!$Z$5:$Z$34,$X41)),IF($W41="V","",""))</f>
        <v/>
      </c>
      <c r="K41" s="19" t="str">
        <f>IF($W41="L",IF(INDEX(Leases!$Y$5:$Y$34,$X41)="","",INDEX(Leases!$Y$5:$Y$34,$X41)),IF($W41="V","",""))</f>
        <v/>
      </c>
      <c r="L41" s="19" t="str">
        <f>IF($W41="L",IF(INDEX(Leases!$M$5:$M$34,$X41)="","",INDEX(Leases!$M$5:$M$34,$X41)),IF($W41="V","",""))</f>
        <v/>
      </c>
      <c r="M41" s="18" t="str">
        <f>IF($W41="L",IF(INDEX(Leases!$AA$5:$AA$34,$X41)="","",INDEX(Leases!$AA$5:$AA$34,$X41)),IF($W41="V","",""))</f>
        <v/>
      </c>
      <c r="N41" s="19" t="str">
        <f>IF($W41="L",IF(INDEX(Leases!$AB$5:$AB$34,$X41)="","",INDEX(Leases!$AB$5:$AB$34,$X41)),IF($W41="V","",""))</f>
        <v/>
      </c>
      <c r="O41" s="20" t="str">
        <f>IF($W41="L",IF(INDEX(Leases!$AD$5:$AD$34,$X41)=1,INDEX(Leases!$J$5:$J$34,$X41),""),IF($W41="V","",""))</f>
        <v/>
      </c>
      <c r="P41" s="18" t="str">
        <f>IF($W41="L",IF(INDEX(Leases!$AD$5:$AD$34,$X41)=1,INDEX(Leases!$L$5:$L$34,$X41),""),IF($W41="V","",""))</f>
        <v/>
      </c>
      <c r="Q41" s="19" t="str">
        <f>IF($W41="L",INDEX(Leases!$AE$5:$AE$34,$X41),IF($W41="V","",""))</f>
        <v/>
      </c>
      <c r="R41" s="19" t="str">
        <f>IF($W41="L",INDEX(Leases!$AF$5:$AF$34,$X41),IF($W41="V","",""))</f>
        <v/>
      </c>
      <c r="S41" s="19" t="str">
        <f>IF($W41="L",IF(INDEX(Leases!$AH$5:$AH$34,$X41)="","",INDEX(Leases!$AH$5:$AH$34,$X41)),IF($W41="V","",""))</f>
        <v/>
      </c>
      <c r="T41" s="16" t="str">
        <f>IF($W41="L",TRIM(IF(INDEX(Leases!$AJ$5:$AJ$34,$X41)=1,"Awaiting index: not in rent totals. ","")&amp;IF(INDEX(Leases!$AC$5:$AC$34,$X41)=1,"Rent not started. ","")&amp;IF(INDEX(Leases!$AD$5:$AD$34,$X41)=1,"Abated on the date. ","")&amp;IF(INDEX(Leases!$AG$5:$AG$34,$X41)=1,"Letter of credit expired. ","")),IF($W41="V",IF(INDEX(Units!$H$5:$H$54,$X41)&lt;&gt;"","Vacant. A signed lease starts on the Lease start date.","Vacant."),""))</f>
        <v/>
      </c>
      <c r="U41" s="16" t="str">
        <f>IF($W41="L",IF(INDEX(Leases!$R$5:$R$34,$X41)="","",INDEX(Leases!$R$5:$R$34,$X41)),IF($W41="V",IF(INDEX(Units!$D$5:$D$54,$X41)="","",INDEX(Units!$D$5:$D$54,$X41)),""))</f>
        <v/>
      </c>
      <c r="W41" s="15" t="str">
        <f>IF((ROW()-ROW($A$9))&lt;=$W$7,"L",IF((ROW()-ROW($A$9))&lt;=$W$7+$X$7,"V",""))</f>
        <v/>
      </c>
      <c r="X41" s="15" t="str">
        <f>IF(W41="L",MATCH((ROW()-ROW($A$9)),Leases!$AQ$5:$AQ$34,0),IF(W41="V",MATCH((ROW()-ROW($A$9))-$W$7,Units!$J$5:$J$54,0),""))</f>
        <v/>
      </c>
      <c r="Y41" s="15">
        <f>IF(W41="L",INDEX(Leases!$AI$5:$AI$34,$X41),0)</f>
        <v>0</v>
      </c>
    </row>
    <row r="42">
      <c r="A42" s="15" t="str">
        <f>IF($W42="","",(ROW()-ROW($A$9)))</f>
        <v/>
      </c>
      <c r="B42" s="16" t="str">
        <f>IF($W42="L",IF(INDEX(Leases!$A$5:$A$34,$X42)="","",INDEX(Leases!$A$5:$A$34,$X42)),IF($W42="V","Vacant",""))</f>
        <v/>
      </c>
      <c r="C42" s="16" t="str">
        <f>IF($W42="L",IF(INDEX(Leases!$V$5:$V$34,$X42)="","",INDEX(Leases!$V$5:$V$34,$X42)),IF($W42="V",IF(INDEX(Units!$A$5:$A$54,$X42)="","",INDEX(Units!$A$5:$A$54,$X42)),""))</f>
        <v/>
      </c>
      <c r="D42" s="16" t="str">
        <f>IF($W42="L",IF(INDEX(Leases!$B$5:$B$34,$X42)="","",INDEX(Leases!$B$5:$B$34,$X42)),IF($W42="V","",""))</f>
        <v/>
      </c>
      <c r="E42" s="17" t="str">
        <f>IF($W42="L",INDEX(Leases!$W$5:$W$34,$X42),IF($W42="V",IF(INDEX(Units!$B$5:$B$54,$X42)="","",INDEX(Units!$B$5:$B$54,$X42)),""))</f>
        <v/>
      </c>
      <c r="F42" s="18" t="str">
        <f>IF($W42="L",IF(INDEX(Leases!$C$5:$C$34,$X42)="","",INDEX(Leases!$C$5:$C$34,$X42)),IF($W42="V",IF(INDEX(Units!$H$5:$H$54,$X42)="","",INDEX(Units!$H$5:$H$54,$X42)),""))</f>
        <v/>
      </c>
      <c r="G42" s="18" t="str">
        <f>IF($W42="L",IF(INDEX(Leases!$D$5:$D$34,$X42)="","No end date",INDEX(Leases!$D$5:$D$34,$X42)),IF($W42="V","",""))</f>
        <v/>
      </c>
      <c r="H42" s="18" t="str">
        <f>IF($W42="L",IF(INDEX(Leases!$E$5:$E$34,$X42)="","",INDEX(Leases!$E$5:$E$34,$X42)),IF($W42="V","",""))</f>
        <v/>
      </c>
      <c r="I42" s="19" t="str">
        <f>IF($W42="L",IF(INDEX(Leases!$X$5:$X$34,$X42)="","",INDEX(Leases!$X$5:$X$34,$X42)),IF($W42="V","",""))</f>
        <v/>
      </c>
      <c r="J42" s="19" t="str">
        <f>IF($W42="L",IF(INDEX(Leases!$Z$5:$Z$34,$X42)="","",INDEX(Leases!$Z$5:$Z$34,$X42)),IF($W42="V","",""))</f>
        <v/>
      </c>
      <c r="K42" s="19" t="str">
        <f>IF($W42="L",IF(INDEX(Leases!$Y$5:$Y$34,$X42)="","",INDEX(Leases!$Y$5:$Y$34,$X42)),IF($W42="V","",""))</f>
        <v/>
      </c>
      <c r="L42" s="19" t="str">
        <f>IF($W42="L",IF(INDEX(Leases!$M$5:$M$34,$X42)="","",INDEX(Leases!$M$5:$M$34,$X42)),IF($W42="V","",""))</f>
        <v/>
      </c>
      <c r="M42" s="18" t="str">
        <f>IF($W42="L",IF(INDEX(Leases!$AA$5:$AA$34,$X42)="","",INDEX(Leases!$AA$5:$AA$34,$X42)),IF($W42="V","",""))</f>
        <v/>
      </c>
      <c r="N42" s="19" t="str">
        <f>IF($W42="L",IF(INDEX(Leases!$AB$5:$AB$34,$X42)="","",INDEX(Leases!$AB$5:$AB$34,$X42)),IF($W42="V","",""))</f>
        <v/>
      </c>
      <c r="O42" s="20" t="str">
        <f>IF($W42="L",IF(INDEX(Leases!$AD$5:$AD$34,$X42)=1,INDEX(Leases!$J$5:$J$34,$X42),""),IF($W42="V","",""))</f>
        <v/>
      </c>
      <c r="P42" s="18" t="str">
        <f>IF($W42="L",IF(INDEX(Leases!$AD$5:$AD$34,$X42)=1,INDEX(Leases!$L$5:$L$34,$X42),""),IF($W42="V","",""))</f>
        <v/>
      </c>
      <c r="Q42" s="19" t="str">
        <f>IF($W42="L",INDEX(Leases!$AE$5:$AE$34,$X42),IF($W42="V","",""))</f>
        <v/>
      </c>
      <c r="R42" s="19" t="str">
        <f>IF($W42="L",INDEX(Leases!$AF$5:$AF$34,$X42),IF($W42="V","",""))</f>
        <v/>
      </c>
      <c r="S42" s="19" t="str">
        <f>IF($W42="L",IF(INDEX(Leases!$AH$5:$AH$34,$X42)="","",INDEX(Leases!$AH$5:$AH$34,$X42)),IF($W42="V","",""))</f>
        <v/>
      </c>
      <c r="T42" s="16" t="str">
        <f>IF($W42="L",TRIM(IF(INDEX(Leases!$AJ$5:$AJ$34,$X42)=1,"Awaiting index: not in rent totals. ","")&amp;IF(INDEX(Leases!$AC$5:$AC$34,$X42)=1,"Rent not started. ","")&amp;IF(INDEX(Leases!$AD$5:$AD$34,$X42)=1,"Abated on the date. ","")&amp;IF(INDEX(Leases!$AG$5:$AG$34,$X42)=1,"Letter of credit expired. ","")),IF($W42="V",IF(INDEX(Units!$H$5:$H$54,$X42)&lt;&gt;"","Vacant. A signed lease starts on the Lease start date.","Vacant."),""))</f>
        <v/>
      </c>
      <c r="U42" s="16" t="str">
        <f>IF($W42="L",IF(INDEX(Leases!$R$5:$R$34,$X42)="","",INDEX(Leases!$R$5:$R$34,$X42)),IF($W42="V",IF(INDEX(Units!$D$5:$D$54,$X42)="","",INDEX(Units!$D$5:$D$54,$X42)),""))</f>
        <v/>
      </c>
      <c r="W42" s="15" t="str">
        <f>IF((ROW()-ROW($A$9))&lt;=$W$7,"L",IF((ROW()-ROW($A$9))&lt;=$W$7+$X$7,"V",""))</f>
        <v/>
      </c>
      <c r="X42" s="15" t="str">
        <f>IF(W42="L",MATCH((ROW()-ROW($A$9)),Leases!$AQ$5:$AQ$34,0),IF(W42="V",MATCH((ROW()-ROW($A$9))-$W$7,Units!$J$5:$J$54,0),""))</f>
        <v/>
      </c>
      <c r="Y42" s="15">
        <f>IF(W42="L",INDEX(Leases!$AI$5:$AI$34,$X42),0)</f>
        <v>0</v>
      </c>
    </row>
    <row r="43">
      <c r="A43" s="15" t="str">
        <f>IF($W43="","",(ROW()-ROW($A$9)))</f>
        <v/>
      </c>
      <c r="B43" s="16" t="str">
        <f>IF($W43="L",IF(INDEX(Leases!$A$5:$A$34,$X43)="","",INDEX(Leases!$A$5:$A$34,$X43)),IF($W43="V","Vacant",""))</f>
        <v/>
      </c>
      <c r="C43" s="16" t="str">
        <f>IF($W43="L",IF(INDEX(Leases!$V$5:$V$34,$X43)="","",INDEX(Leases!$V$5:$V$34,$X43)),IF($W43="V",IF(INDEX(Units!$A$5:$A$54,$X43)="","",INDEX(Units!$A$5:$A$54,$X43)),""))</f>
        <v/>
      </c>
      <c r="D43" s="16" t="str">
        <f>IF($W43="L",IF(INDEX(Leases!$B$5:$B$34,$X43)="","",INDEX(Leases!$B$5:$B$34,$X43)),IF($W43="V","",""))</f>
        <v/>
      </c>
      <c r="E43" s="17" t="str">
        <f>IF($W43="L",INDEX(Leases!$W$5:$W$34,$X43),IF($W43="V",IF(INDEX(Units!$B$5:$B$54,$X43)="","",INDEX(Units!$B$5:$B$54,$X43)),""))</f>
        <v/>
      </c>
      <c r="F43" s="18" t="str">
        <f>IF($W43="L",IF(INDEX(Leases!$C$5:$C$34,$X43)="","",INDEX(Leases!$C$5:$C$34,$X43)),IF($W43="V",IF(INDEX(Units!$H$5:$H$54,$X43)="","",INDEX(Units!$H$5:$H$54,$X43)),""))</f>
        <v/>
      </c>
      <c r="G43" s="18" t="str">
        <f>IF($W43="L",IF(INDEX(Leases!$D$5:$D$34,$X43)="","No end date",INDEX(Leases!$D$5:$D$34,$X43)),IF($W43="V","",""))</f>
        <v/>
      </c>
      <c r="H43" s="18" t="str">
        <f>IF($W43="L",IF(INDEX(Leases!$E$5:$E$34,$X43)="","",INDEX(Leases!$E$5:$E$34,$X43)),IF($W43="V","",""))</f>
        <v/>
      </c>
      <c r="I43" s="19" t="str">
        <f>IF($W43="L",IF(INDEX(Leases!$X$5:$X$34,$X43)="","",INDEX(Leases!$X$5:$X$34,$X43)),IF($W43="V","",""))</f>
        <v/>
      </c>
      <c r="J43" s="19" t="str">
        <f>IF($W43="L",IF(INDEX(Leases!$Z$5:$Z$34,$X43)="","",INDEX(Leases!$Z$5:$Z$34,$X43)),IF($W43="V","",""))</f>
        <v/>
      </c>
      <c r="K43" s="19" t="str">
        <f>IF($W43="L",IF(INDEX(Leases!$Y$5:$Y$34,$X43)="","",INDEX(Leases!$Y$5:$Y$34,$X43)),IF($W43="V","",""))</f>
        <v/>
      </c>
      <c r="L43" s="19" t="str">
        <f>IF($W43="L",IF(INDEX(Leases!$M$5:$M$34,$X43)="","",INDEX(Leases!$M$5:$M$34,$X43)),IF($W43="V","",""))</f>
        <v/>
      </c>
      <c r="M43" s="18" t="str">
        <f>IF($W43="L",IF(INDEX(Leases!$AA$5:$AA$34,$X43)="","",INDEX(Leases!$AA$5:$AA$34,$X43)),IF($W43="V","",""))</f>
        <v/>
      </c>
      <c r="N43" s="19" t="str">
        <f>IF($W43="L",IF(INDEX(Leases!$AB$5:$AB$34,$X43)="","",INDEX(Leases!$AB$5:$AB$34,$X43)),IF($W43="V","",""))</f>
        <v/>
      </c>
      <c r="O43" s="20" t="str">
        <f>IF($W43="L",IF(INDEX(Leases!$AD$5:$AD$34,$X43)=1,INDEX(Leases!$J$5:$J$34,$X43),""),IF($W43="V","",""))</f>
        <v/>
      </c>
      <c r="P43" s="18" t="str">
        <f>IF($W43="L",IF(INDEX(Leases!$AD$5:$AD$34,$X43)=1,INDEX(Leases!$L$5:$L$34,$X43),""),IF($W43="V","",""))</f>
        <v/>
      </c>
      <c r="Q43" s="19" t="str">
        <f>IF($W43="L",INDEX(Leases!$AE$5:$AE$34,$X43),IF($W43="V","",""))</f>
        <v/>
      </c>
      <c r="R43" s="19" t="str">
        <f>IF($W43="L",INDEX(Leases!$AF$5:$AF$34,$X43),IF($W43="V","",""))</f>
        <v/>
      </c>
      <c r="S43" s="19" t="str">
        <f>IF($W43="L",IF(INDEX(Leases!$AH$5:$AH$34,$X43)="","",INDEX(Leases!$AH$5:$AH$34,$X43)),IF($W43="V","",""))</f>
        <v/>
      </c>
      <c r="T43" s="16" t="str">
        <f>IF($W43="L",TRIM(IF(INDEX(Leases!$AJ$5:$AJ$34,$X43)=1,"Awaiting index: not in rent totals. ","")&amp;IF(INDEX(Leases!$AC$5:$AC$34,$X43)=1,"Rent not started. ","")&amp;IF(INDEX(Leases!$AD$5:$AD$34,$X43)=1,"Abated on the date. ","")&amp;IF(INDEX(Leases!$AG$5:$AG$34,$X43)=1,"Letter of credit expired. ","")),IF($W43="V",IF(INDEX(Units!$H$5:$H$54,$X43)&lt;&gt;"","Vacant. A signed lease starts on the Lease start date.","Vacant."),""))</f>
        <v/>
      </c>
      <c r="U43" s="16" t="str">
        <f>IF($W43="L",IF(INDEX(Leases!$R$5:$R$34,$X43)="","",INDEX(Leases!$R$5:$R$34,$X43)),IF($W43="V",IF(INDEX(Units!$D$5:$D$54,$X43)="","",INDEX(Units!$D$5:$D$54,$X43)),""))</f>
        <v/>
      </c>
      <c r="W43" s="15" t="str">
        <f>IF((ROW()-ROW($A$9))&lt;=$W$7,"L",IF((ROW()-ROW($A$9))&lt;=$W$7+$X$7,"V",""))</f>
        <v/>
      </c>
      <c r="X43" s="15" t="str">
        <f>IF(W43="L",MATCH((ROW()-ROW($A$9)),Leases!$AQ$5:$AQ$34,0),IF(W43="V",MATCH((ROW()-ROW($A$9))-$W$7,Units!$J$5:$J$54,0),""))</f>
        <v/>
      </c>
      <c r="Y43" s="15">
        <f>IF(W43="L",INDEX(Leases!$AI$5:$AI$34,$X43),0)</f>
        <v>0</v>
      </c>
    </row>
    <row r="44">
      <c r="A44" s="15" t="str">
        <f>IF($W44="","",(ROW()-ROW($A$9)))</f>
        <v/>
      </c>
      <c r="B44" s="16" t="str">
        <f>IF($W44="L",IF(INDEX(Leases!$A$5:$A$34,$X44)="","",INDEX(Leases!$A$5:$A$34,$X44)),IF($W44="V","Vacant",""))</f>
        <v/>
      </c>
      <c r="C44" s="16" t="str">
        <f>IF($W44="L",IF(INDEX(Leases!$V$5:$V$34,$X44)="","",INDEX(Leases!$V$5:$V$34,$X44)),IF($W44="V",IF(INDEX(Units!$A$5:$A$54,$X44)="","",INDEX(Units!$A$5:$A$54,$X44)),""))</f>
        <v/>
      </c>
      <c r="D44" s="16" t="str">
        <f>IF($W44="L",IF(INDEX(Leases!$B$5:$B$34,$X44)="","",INDEX(Leases!$B$5:$B$34,$X44)),IF($W44="V","",""))</f>
        <v/>
      </c>
      <c r="E44" s="17" t="str">
        <f>IF($W44="L",INDEX(Leases!$W$5:$W$34,$X44),IF($W44="V",IF(INDEX(Units!$B$5:$B$54,$X44)="","",INDEX(Units!$B$5:$B$54,$X44)),""))</f>
        <v/>
      </c>
      <c r="F44" s="18" t="str">
        <f>IF($W44="L",IF(INDEX(Leases!$C$5:$C$34,$X44)="","",INDEX(Leases!$C$5:$C$34,$X44)),IF($W44="V",IF(INDEX(Units!$H$5:$H$54,$X44)="","",INDEX(Units!$H$5:$H$54,$X44)),""))</f>
        <v/>
      </c>
      <c r="G44" s="18" t="str">
        <f>IF($W44="L",IF(INDEX(Leases!$D$5:$D$34,$X44)="","No end date",INDEX(Leases!$D$5:$D$34,$X44)),IF($W44="V","",""))</f>
        <v/>
      </c>
      <c r="H44" s="18" t="str">
        <f>IF($W44="L",IF(INDEX(Leases!$E$5:$E$34,$X44)="","",INDEX(Leases!$E$5:$E$34,$X44)),IF($W44="V","",""))</f>
        <v/>
      </c>
      <c r="I44" s="19" t="str">
        <f>IF($W44="L",IF(INDEX(Leases!$X$5:$X$34,$X44)="","",INDEX(Leases!$X$5:$X$34,$X44)),IF($W44="V","",""))</f>
        <v/>
      </c>
      <c r="J44" s="19" t="str">
        <f>IF($W44="L",IF(INDEX(Leases!$Z$5:$Z$34,$X44)="","",INDEX(Leases!$Z$5:$Z$34,$X44)),IF($W44="V","",""))</f>
        <v/>
      </c>
      <c r="K44" s="19" t="str">
        <f>IF($W44="L",IF(INDEX(Leases!$Y$5:$Y$34,$X44)="","",INDEX(Leases!$Y$5:$Y$34,$X44)),IF($W44="V","",""))</f>
        <v/>
      </c>
      <c r="L44" s="19" t="str">
        <f>IF($W44="L",IF(INDEX(Leases!$M$5:$M$34,$X44)="","",INDEX(Leases!$M$5:$M$34,$X44)),IF($W44="V","",""))</f>
        <v/>
      </c>
      <c r="M44" s="18" t="str">
        <f>IF($W44="L",IF(INDEX(Leases!$AA$5:$AA$34,$X44)="","",INDEX(Leases!$AA$5:$AA$34,$X44)),IF($W44="V","",""))</f>
        <v/>
      </c>
      <c r="N44" s="19" t="str">
        <f>IF($W44="L",IF(INDEX(Leases!$AB$5:$AB$34,$X44)="","",INDEX(Leases!$AB$5:$AB$34,$X44)),IF($W44="V","",""))</f>
        <v/>
      </c>
      <c r="O44" s="20" t="str">
        <f>IF($W44="L",IF(INDEX(Leases!$AD$5:$AD$34,$X44)=1,INDEX(Leases!$J$5:$J$34,$X44),""),IF($W44="V","",""))</f>
        <v/>
      </c>
      <c r="P44" s="18" t="str">
        <f>IF($W44="L",IF(INDEX(Leases!$AD$5:$AD$34,$X44)=1,INDEX(Leases!$L$5:$L$34,$X44),""),IF($W44="V","",""))</f>
        <v/>
      </c>
      <c r="Q44" s="19" t="str">
        <f>IF($W44="L",INDEX(Leases!$AE$5:$AE$34,$X44),IF($W44="V","",""))</f>
        <v/>
      </c>
      <c r="R44" s="19" t="str">
        <f>IF($W44="L",INDEX(Leases!$AF$5:$AF$34,$X44),IF($W44="V","",""))</f>
        <v/>
      </c>
      <c r="S44" s="19" t="str">
        <f>IF($W44="L",IF(INDEX(Leases!$AH$5:$AH$34,$X44)="","",INDEX(Leases!$AH$5:$AH$34,$X44)),IF($W44="V","",""))</f>
        <v/>
      </c>
      <c r="T44" s="16" t="str">
        <f>IF($W44="L",TRIM(IF(INDEX(Leases!$AJ$5:$AJ$34,$X44)=1,"Awaiting index: not in rent totals. ","")&amp;IF(INDEX(Leases!$AC$5:$AC$34,$X44)=1,"Rent not started. ","")&amp;IF(INDEX(Leases!$AD$5:$AD$34,$X44)=1,"Abated on the date. ","")&amp;IF(INDEX(Leases!$AG$5:$AG$34,$X44)=1,"Letter of credit expired. ","")),IF($W44="V",IF(INDEX(Units!$H$5:$H$54,$X44)&lt;&gt;"","Vacant. A signed lease starts on the Lease start date.","Vacant."),""))</f>
        <v/>
      </c>
      <c r="U44" s="16" t="str">
        <f>IF($W44="L",IF(INDEX(Leases!$R$5:$R$34,$X44)="","",INDEX(Leases!$R$5:$R$34,$X44)),IF($W44="V",IF(INDEX(Units!$D$5:$D$54,$X44)="","",INDEX(Units!$D$5:$D$54,$X44)),""))</f>
        <v/>
      </c>
      <c r="W44" s="15" t="str">
        <f>IF((ROW()-ROW($A$9))&lt;=$W$7,"L",IF((ROW()-ROW($A$9))&lt;=$W$7+$X$7,"V",""))</f>
        <v/>
      </c>
      <c r="X44" s="15" t="str">
        <f>IF(W44="L",MATCH((ROW()-ROW($A$9)),Leases!$AQ$5:$AQ$34,0),IF(W44="V",MATCH((ROW()-ROW($A$9))-$W$7,Units!$J$5:$J$54,0),""))</f>
        <v/>
      </c>
      <c r="Y44" s="15">
        <f>IF(W44="L",INDEX(Leases!$AI$5:$AI$34,$X44),0)</f>
        <v>0</v>
      </c>
    </row>
    <row r="45">
      <c r="A45" s="15" t="str">
        <f>IF($W45="","",(ROW()-ROW($A$9)))</f>
        <v/>
      </c>
      <c r="B45" s="16" t="str">
        <f>IF($W45="L",IF(INDEX(Leases!$A$5:$A$34,$X45)="","",INDEX(Leases!$A$5:$A$34,$X45)),IF($W45="V","Vacant",""))</f>
        <v/>
      </c>
      <c r="C45" s="16" t="str">
        <f>IF($W45="L",IF(INDEX(Leases!$V$5:$V$34,$X45)="","",INDEX(Leases!$V$5:$V$34,$X45)),IF($W45="V",IF(INDEX(Units!$A$5:$A$54,$X45)="","",INDEX(Units!$A$5:$A$54,$X45)),""))</f>
        <v/>
      </c>
      <c r="D45" s="16" t="str">
        <f>IF($W45="L",IF(INDEX(Leases!$B$5:$B$34,$X45)="","",INDEX(Leases!$B$5:$B$34,$X45)),IF($W45="V","",""))</f>
        <v/>
      </c>
      <c r="E45" s="17" t="str">
        <f>IF($W45="L",INDEX(Leases!$W$5:$W$34,$X45),IF($W45="V",IF(INDEX(Units!$B$5:$B$54,$X45)="","",INDEX(Units!$B$5:$B$54,$X45)),""))</f>
        <v/>
      </c>
      <c r="F45" s="18" t="str">
        <f>IF($W45="L",IF(INDEX(Leases!$C$5:$C$34,$X45)="","",INDEX(Leases!$C$5:$C$34,$X45)),IF($W45="V",IF(INDEX(Units!$H$5:$H$54,$X45)="","",INDEX(Units!$H$5:$H$54,$X45)),""))</f>
        <v/>
      </c>
      <c r="G45" s="18" t="str">
        <f>IF($W45="L",IF(INDEX(Leases!$D$5:$D$34,$X45)="","No end date",INDEX(Leases!$D$5:$D$34,$X45)),IF($W45="V","",""))</f>
        <v/>
      </c>
      <c r="H45" s="18" t="str">
        <f>IF($W45="L",IF(INDEX(Leases!$E$5:$E$34,$X45)="","",INDEX(Leases!$E$5:$E$34,$X45)),IF($W45="V","",""))</f>
        <v/>
      </c>
      <c r="I45" s="19" t="str">
        <f>IF($W45="L",IF(INDEX(Leases!$X$5:$X$34,$X45)="","",INDEX(Leases!$X$5:$X$34,$X45)),IF($W45="V","",""))</f>
        <v/>
      </c>
      <c r="J45" s="19" t="str">
        <f>IF($W45="L",IF(INDEX(Leases!$Z$5:$Z$34,$X45)="","",INDEX(Leases!$Z$5:$Z$34,$X45)),IF($W45="V","",""))</f>
        <v/>
      </c>
      <c r="K45" s="19" t="str">
        <f>IF($W45="L",IF(INDEX(Leases!$Y$5:$Y$34,$X45)="","",INDEX(Leases!$Y$5:$Y$34,$X45)),IF($W45="V","",""))</f>
        <v/>
      </c>
      <c r="L45" s="19" t="str">
        <f>IF($W45="L",IF(INDEX(Leases!$M$5:$M$34,$X45)="","",INDEX(Leases!$M$5:$M$34,$X45)),IF($W45="V","",""))</f>
        <v/>
      </c>
      <c r="M45" s="18" t="str">
        <f>IF($W45="L",IF(INDEX(Leases!$AA$5:$AA$34,$X45)="","",INDEX(Leases!$AA$5:$AA$34,$X45)),IF($W45="V","",""))</f>
        <v/>
      </c>
      <c r="N45" s="19" t="str">
        <f>IF($W45="L",IF(INDEX(Leases!$AB$5:$AB$34,$X45)="","",INDEX(Leases!$AB$5:$AB$34,$X45)),IF($W45="V","",""))</f>
        <v/>
      </c>
      <c r="O45" s="20" t="str">
        <f>IF($W45="L",IF(INDEX(Leases!$AD$5:$AD$34,$X45)=1,INDEX(Leases!$J$5:$J$34,$X45),""),IF($W45="V","",""))</f>
        <v/>
      </c>
      <c r="P45" s="18" t="str">
        <f>IF($W45="L",IF(INDEX(Leases!$AD$5:$AD$34,$X45)=1,INDEX(Leases!$L$5:$L$34,$X45),""),IF($W45="V","",""))</f>
        <v/>
      </c>
      <c r="Q45" s="19" t="str">
        <f>IF($W45="L",INDEX(Leases!$AE$5:$AE$34,$X45),IF($W45="V","",""))</f>
        <v/>
      </c>
      <c r="R45" s="19" t="str">
        <f>IF($W45="L",INDEX(Leases!$AF$5:$AF$34,$X45),IF($W45="V","",""))</f>
        <v/>
      </c>
      <c r="S45" s="19" t="str">
        <f>IF($W45="L",IF(INDEX(Leases!$AH$5:$AH$34,$X45)="","",INDEX(Leases!$AH$5:$AH$34,$X45)),IF($W45="V","",""))</f>
        <v/>
      </c>
      <c r="T45" s="16" t="str">
        <f>IF($W45="L",TRIM(IF(INDEX(Leases!$AJ$5:$AJ$34,$X45)=1,"Awaiting index: not in rent totals. ","")&amp;IF(INDEX(Leases!$AC$5:$AC$34,$X45)=1,"Rent not started. ","")&amp;IF(INDEX(Leases!$AD$5:$AD$34,$X45)=1,"Abated on the date. ","")&amp;IF(INDEX(Leases!$AG$5:$AG$34,$X45)=1,"Letter of credit expired. ","")),IF($W45="V",IF(INDEX(Units!$H$5:$H$54,$X45)&lt;&gt;"","Vacant. A signed lease starts on the Lease start date.","Vacant."),""))</f>
        <v/>
      </c>
      <c r="U45" s="16" t="str">
        <f>IF($W45="L",IF(INDEX(Leases!$R$5:$R$34,$X45)="","",INDEX(Leases!$R$5:$R$34,$X45)),IF($W45="V",IF(INDEX(Units!$D$5:$D$54,$X45)="","",INDEX(Units!$D$5:$D$54,$X45)),""))</f>
        <v/>
      </c>
      <c r="W45" s="15" t="str">
        <f>IF((ROW()-ROW($A$9))&lt;=$W$7,"L",IF((ROW()-ROW($A$9))&lt;=$W$7+$X$7,"V",""))</f>
        <v/>
      </c>
      <c r="X45" s="15" t="str">
        <f>IF(W45="L",MATCH((ROW()-ROW($A$9)),Leases!$AQ$5:$AQ$34,0),IF(W45="V",MATCH((ROW()-ROW($A$9))-$W$7,Units!$J$5:$J$54,0),""))</f>
        <v/>
      </c>
      <c r="Y45" s="15">
        <f>IF(W45="L",INDEX(Leases!$AI$5:$AI$34,$X45),0)</f>
        <v>0</v>
      </c>
    </row>
    <row r="46">
      <c r="A46" s="15" t="str">
        <f>IF($W46="","",(ROW()-ROW($A$9)))</f>
        <v/>
      </c>
      <c r="B46" s="16" t="str">
        <f>IF($W46="L",IF(INDEX(Leases!$A$5:$A$34,$X46)="","",INDEX(Leases!$A$5:$A$34,$X46)),IF($W46="V","Vacant",""))</f>
        <v/>
      </c>
      <c r="C46" s="16" t="str">
        <f>IF($W46="L",IF(INDEX(Leases!$V$5:$V$34,$X46)="","",INDEX(Leases!$V$5:$V$34,$X46)),IF($W46="V",IF(INDEX(Units!$A$5:$A$54,$X46)="","",INDEX(Units!$A$5:$A$54,$X46)),""))</f>
        <v/>
      </c>
      <c r="D46" s="16" t="str">
        <f>IF($W46="L",IF(INDEX(Leases!$B$5:$B$34,$X46)="","",INDEX(Leases!$B$5:$B$34,$X46)),IF($W46="V","",""))</f>
        <v/>
      </c>
      <c r="E46" s="17" t="str">
        <f>IF($W46="L",INDEX(Leases!$W$5:$W$34,$X46),IF($W46="V",IF(INDEX(Units!$B$5:$B$54,$X46)="","",INDEX(Units!$B$5:$B$54,$X46)),""))</f>
        <v/>
      </c>
      <c r="F46" s="18" t="str">
        <f>IF($W46="L",IF(INDEX(Leases!$C$5:$C$34,$X46)="","",INDEX(Leases!$C$5:$C$34,$X46)),IF($W46="V",IF(INDEX(Units!$H$5:$H$54,$X46)="","",INDEX(Units!$H$5:$H$54,$X46)),""))</f>
        <v/>
      </c>
      <c r="G46" s="18" t="str">
        <f>IF($W46="L",IF(INDEX(Leases!$D$5:$D$34,$X46)="","No end date",INDEX(Leases!$D$5:$D$34,$X46)),IF($W46="V","",""))</f>
        <v/>
      </c>
      <c r="H46" s="18" t="str">
        <f>IF($W46="L",IF(INDEX(Leases!$E$5:$E$34,$X46)="","",INDEX(Leases!$E$5:$E$34,$X46)),IF($W46="V","",""))</f>
        <v/>
      </c>
      <c r="I46" s="19" t="str">
        <f>IF($W46="L",IF(INDEX(Leases!$X$5:$X$34,$X46)="","",INDEX(Leases!$X$5:$X$34,$X46)),IF($W46="V","",""))</f>
        <v/>
      </c>
      <c r="J46" s="19" t="str">
        <f>IF($W46="L",IF(INDEX(Leases!$Z$5:$Z$34,$X46)="","",INDEX(Leases!$Z$5:$Z$34,$X46)),IF($W46="V","",""))</f>
        <v/>
      </c>
      <c r="K46" s="19" t="str">
        <f>IF($W46="L",IF(INDEX(Leases!$Y$5:$Y$34,$X46)="","",INDEX(Leases!$Y$5:$Y$34,$X46)),IF($W46="V","",""))</f>
        <v/>
      </c>
      <c r="L46" s="19" t="str">
        <f>IF($W46="L",IF(INDEX(Leases!$M$5:$M$34,$X46)="","",INDEX(Leases!$M$5:$M$34,$X46)),IF($W46="V","",""))</f>
        <v/>
      </c>
      <c r="M46" s="18" t="str">
        <f>IF($W46="L",IF(INDEX(Leases!$AA$5:$AA$34,$X46)="","",INDEX(Leases!$AA$5:$AA$34,$X46)),IF($W46="V","",""))</f>
        <v/>
      </c>
      <c r="N46" s="19" t="str">
        <f>IF($W46="L",IF(INDEX(Leases!$AB$5:$AB$34,$X46)="","",INDEX(Leases!$AB$5:$AB$34,$X46)),IF($W46="V","",""))</f>
        <v/>
      </c>
      <c r="O46" s="20" t="str">
        <f>IF($W46="L",IF(INDEX(Leases!$AD$5:$AD$34,$X46)=1,INDEX(Leases!$J$5:$J$34,$X46),""),IF($W46="V","",""))</f>
        <v/>
      </c>
      <c r="P46" s="18" t="str">
        <f>IF($W46="L",IF(INDEX(Leases!$AD$5:$AD$34,$X46)=1,INDEX(Leases!$L$5:$L$34,$X46),""),IF($W46="V","",""))</f>
        <v/>
      </c>
      <c r="Q46" s="19" t="str">
        <f>IF($W46="L",INDEX(Leases!$AE$5:$AE$34,$X46),IF($W46="V","",""))</f>
        <v/>
      </c>
      <c r="R46" s="19" t="str">
        <f>IF($W46="L",INDEX(Leases!$AF$5:$AF$34,$X46),IF($W46="V","",""))</f>
        <v/>
      </c>
      <c r="S46" s="19" t="str">
        <f>IF($W46="L",IF(INDEX(Leases!$AH$5:$AH$34,$X46)="","",INDEX(Leases!$AH$5:$AH$34,$X46)),IF($W46="V","",""))</f>
        <v/>
      </c>
      <c r="T46" s="16" t="str">
        <f>IF($W46="L",TRIM(IF(INDEX(Leases!$AJ$5:$AJ$34,$X46)=1,"Awaiting index: not in rent totals. ","")&amp;IF(INDEX(Leases!$AC$5:$AC$34,$X46)=1,"Rent not started. ","")&amp;IF(INDEX(Leases!$AD$5:$AD$34,$X46)=1,"Abated on the date. ","")&amp;IF(INDEX(Leases!$AG$5:$AG$34,$X46)=1,"Letter of credit expired. ","")),IF($W46="V",IF(INDEX(Units!$H$5:$H$54,$X46)&lt;&gt;"","Vacant. A signed lease starts on the Lease start date.","Vacant."),""))</f>
        <v/>
      </c>
      <c r="U46" s="16" t="str">
        <f>IF($W46="L",IF(INDEX(Leases!$R$5:$R$34,$X46)="","",INDEX(Leases!$R$5:$R$34,$X46)),IF($W46="V",IF(INDEX(Units!$D$5:$D$54,$X46)="","",INDEX(Units!$D$5:$D$54,$X46)),""))</f>
        <v/>
      </c>
      <c r="W46" s="15" t="str">
        <f>IF((ROW()-ROW($A$9))&lt;=$W$7,"L",IF((ROW()-ROW($A$9))&lt;=$W$7+$X$7,"V",""))</f>
        <v/>
      </c>
      <c r="X46" s="15" t="str">
        <f>IF(W46="L",MATCH((ROW()-ROW($A$9)),Leases!$AQ$5:$AQ$34,0),IF(W46="V",MATCH((ROW()-ROW($A$9))-$W$7,Units!$J$5:$J$54,0),""))</f>
        <v/>
      </c>
      <c r="Y46" s="15">
        <f>IF(W46="L",INDEX(Leases!$AI$5:$AI$34,$X46),0)</f>
        <v>0</v>
      </c>
    </row>
    <row r="47">
      <c r="A47" s="15" t="str">
        <f>IF($W47="","",(ROW()-ROW($A$9)))</f>
        <v/>
      </c>
      <c r="B47" s="16" t="str">
        <f>IF($W47="L",IF(INDEX(Leases!$A$5:$A$34,$X47)="","",INDEX(Leases!$A$5:$A$34,$X47)),IF($W47="V","Vacant",""))</f>
        <v/>
      </c>
      <c r="C47" s="16" t="str">
        <f>IF($W47="L",IF(INDEX(Leases!$V$5:$V$34,$X47)="","",INDEX(Leases!$V$5:$V$34,$X47)),IF($W47="V",IF(INDEX(Units!$A$5:$A$54,$X47)="","",INDEX(Units!$A$5:$A$54,$X47)),""))</f>
        <v/>
      </c>
      <c r="D47" s="16" t="str">
        <f>IF($W47="L",IF(INDEX(Leases!$B$5:$B$34,$X47)="","",INDEX(Leases!$B$5:$B$34,$X47)),IF($W47="V","",""))</f>
        <v/>
      </c>
      <c r="E47" s="17" t="str">
        <f>IF($W47="L",INDEX(Leases!$W$5:$W$34,$X47),IF($W47="V",IF(INDEX(Units!$B$5:$B$54,$X47)="","",INDEX(Units!$B$5:$B$54,$X47)),""))</f>
        <v/>
      </c>
      <c r="F47" s="18" t="str">
        <f>IF($W47="L",IF(INDEX(Leases!$C$5:$C$34,$X47)="","",INDEX(Leases!$C$5:$C$34,$X47)),IF($W47="V",IF(INDEX(Units!$H$5:$H$54,$X47)="","",INDEX(Units!$H$5:$H$54,$X47)),""))</f>
        <v/>
      </c>
      <c r="G47" s="18" t="str">
        <f>IF($W47="L",IF(INDEX(Leases!$D$5:$D$34,$X47)="","No end date",INDEX(Leases!$D$5:$D$34,$X47)),IF($W47="V","",""))</f>
        <v/>
      </c>
      <c r="H47" s="18" t="str">
        <f>IF($W47="L",IF(INDEX(Leases!$E$5:$E$34,$X47)="","",INDEX(Leases!$E$5:$E$34,$X47)),IF($W47="V","",""))</f>
        <v/>
      </c>
      <c r="I47" s="19" t="str">
        <f>IF($W47="L",IF(INDEX(Leases!$X$5:$X$34,$X47)="","",INDEX(Leases!$X$5:$X$34,$X47)),IF($W47="V","",""))</f>
        <v/>
      </c>
      <c r="J47" s="19" t="str">
        <f>IF($W47="L",IF(INDEX(Leases!$Z$5:$Z$34,$X47)="","",INDEX(Leases!$Z$5:$Z$34,$X47)),IF($W47="V","",""))</f>
        <v/>
      </c>
      <c r="K47" s="19" t="str">
        <f>IF($W47="L",IF(INDEX(Leases!$Y$5:$Y$34,$X47)="","",INDEX(Leases!$Y$5:$Y$34,$X47)),IF($W47="V","",""))</f>
        <v/>
      </c>
      <c r="L47" s="19" t="str">
        <f>IF($W47="L",IF(INDEX(Leases!$M$5:$M$34,$X47)="","",INDEX(Leases!$M$5:$M$34,$X47)),IF($W47="V","",""))</f>
        <v/>
      </c>
      <c r="M47" s="18" t="str">
        <f>IF($W47="L",IF(INDEX(Leases!$AA$5:$AA$34,$X47)="","",INDEX(Leases!$AA$5:$AA$34,$X47)),IF($W47="V","",""))</f>
        <v/>
      </c>
      <c r="N47" s="19" t="str">
        <f>IF($W47="L",IF(INDEX(Leases!$AB$5:$AB$34,$X47)="","",INDEX(Leases!$AB$5:$AB$34,$X47)),IF($W47="V","",""))</f>
        <v/>
      </c>
      <c r="O47" s="20" t="str">
        <f>IF($W47="L",IF(INDEX(Leases!$AD$5:$AD$34,$X47)=1,INDEX(Leases!$J$5:$J$34,$X47),""),IF($W47="V","",""))</f>
        <v/>
      </c>
      <c r="P47" s="18" t="str">
        <f>IF($W47="L",IF(INDEX(Leases!$AD$5:$AD$34,$X47)=1,INDEX(Leases!$L$5:$L$34,$X47),""),IF($W47="V","",""))</f>
        <v/>
      </c>
      <c r="Q47" s="19" t="str">
        <f>IF($W47="L",INDEX(Leases!$AE$5:$AE$34,$X47),IF($W47="V","",""))</f>
        <v/>
      </c>
      <c r="R47" s="19" t="str">
        <f>IF($W47="L",INDEX(Leases!$AF$5:$AF$34,$X47),IF($W47="V","",""))</f>
        <v/>
      </c>
      <c r="S47" s="19" t="str">
        <f>IF($W47="L",IF(INDEX(Leases!$AH$5:$AH$34,$X47)="","",INDEX(Leases!$AH$5:$AH$34,$X47)),IF($W47="V","",""))</f>
        <v/>
      </c>
      <c r="T47" s="16" t="str">
        <f>IF($W47="L",TRIM(IF(INDEX(Leases!$AJ$5:$AJ$34,$X47)=1,"Awaiting index: not in rent totals. ","")&amp;IF(INDEX(Leases!$AC$5:$AC$34,$X47)=1,"Rent not started. ","")&amp;IF(INDEX(Leases!$AD$5:$AD$34,$X47)=1,"Abated on the date. ","")&amp;IF(INDEX(Leases!$AG$5:$AG$34,$X47)=1,"Letter of credit expired. ","")),IF($W47="V",IF(INDEX(Units!$H$5:$H$54,$X47)&lt;&gt;"","Vacant. A signed lease starts on the Lease start date.","Vacant."),""))</f>
        <v/>
      </c>
      <c r="U47" s="16" t="str">
        <f>IF($W47="L",IF(INDEX(Leases!$R$5:$R$34,$X47)="","",INDEX(Leases!$R$5:$R$34,$X47)),IF($W47="V",IF(INDEX(Units!$D$5:$D$54,$X47)="","",INDEX(Units!$D$5:$D$54,$X47)),""))</f>
        <v/>
      </c>
      <c r="W47" s="15" t="str">
        <f>IF((ROW()-ROW($A$9))&lt;=$W$7,"L",IF((ROW()-ROW($A$9))&lt;=$W$7+$X$7,"V",""))</f>
        <v/>
      </c>
      <c r="X47" s="15" t="str">
        <f>IF(W47="L",MATCH((ROW()-ROW($A$9)),Leases!$AQ$5:$AQ$34,0),IF(W47="V",MATCH((ROW()-ROW($A$9))-$W$7,Units!$J$5:$J$54,0),""))</f>
        <v/>
      </c>
      <c r="Y47" s="15">
        <f>IF(W47="L",INDEX(Leases!$AI$5:$AI$34,$X47),0)</f>
        <v>0</v>
      </c>
    </row>
    <row r="48">
      <c r="A48" s="15" t="str">
        <f>IF($W48="","",(ROW()-ROW($A$9)))</f>
        <v/>
      </c>
      <c r="B48" s="16" t="str">
        <f>IF($W48="L",IF(INDEX(Leases!$A$5:$A$34,$X48)="","",INDEX(Leases!$A$5:$A$34,$X48)),IF($W48="V","Vacant",""))</f>
        <v/>
      </c>
      <c r="C48" s="16" t="str">
        <f>IF($W48="L",IF(INDEX(Leases!$V$5:$V$34,$X48)="","",INDEX(Leases!$V$5:$V$34,$X48)),IF($W48="V",IF(INDEX(Units!$A$5:$A$54,$X48)="","",INDEX(Units!$A$5:$A$54,$X48)),""))</f>
        <v/>
      </c>
      <c r="D48" s="16" t="str">
        <f>IF($W48="L",IF(INDEX(Leases!$B$5:$B$34,$X48)="","",INDEX(Leases!$B$5:$B$34,$X48)),IF($W48="V","",""))</f>
        <v/>
      </c>
      <c r="E48" s="17" t="str">
        <f>IF($W48="L",INDEX(Leases!$W$5:$W$34,$X48),IF($W48="V",IF(INDEX(Units!$B$5:$B$54,$X48)="","",INDEX(Units!$B$5:$B$54,$X48)),""))</f>
        <v/>
      </c>
      <c r="F48" s="18" t="str">
        <f>IF($W48="L",IF(INDEX(Leases!$C$5:$C$34,$X48)="","",INDEX(Leases!$C$5:$C$34,$X48)),IF($W48="V",IF(INDEX(Units!$H$5:$H$54,$X48)="","",INDEX(Units!$H$5:$H$54,$X48)),""))</f>
        <v/>
      </c>
      <c r="G48" s="18" t="str">
        <f>IF($W48="L",IF(INDEX(Leases!$D$5:$D$34,$X48)="","No end date",INDEX(Leases!$D$5:$D$34,$X48)),IF($W48="V","",""))</f>
        <v/>
      </c>
      <c r="H48" s="18" t="str">
        <f>IF($W48="L",IF(INDEX(Leases!$E$5:$E$34,$X48)="","",INDEX(Leases!$E$5:$E$34,$X48)),IF($W48="V","",""))</f>
        <v/>
      </c>
      <c r="I48" s="19" t="str">
        <f>IF($W48="L",IF(INDEX(Leases!$X$5:$X$34,$X48)="","",INDEX(Leases!$X$5:$X$34,$X48)),IF($W48="V","",""))</f>
        <v/>
      </c>
      <c r="J48" s="19" t="str">
        <f>IF($W48="L",IF(INDEX(Leases!$Z$5:$Z$34,$X48)="","",INDEX(Leases!$Z$5:$Z$34,$X48)),IF($W48="V","",""))</f>
        <v/>
      </c>
      <c r="K48" s="19" t="str">
        <f>IF($W48="L",IF(INDEX(Leases!$Y$5:$Y$34,$X48)="","",INDEX(Leases!$Y$5:$Y$34,$X48)),IF($W48="V","",""))</f>
        <v/>
      </c>
      <c r="L48" s="19" t="str">
        <f>IF($W48="L",IF(INDEX(Leases!$M$5:$M$34,$X48)="","",INDEX(Leases!$M$5:$M$34,$X48)),IF($W48="V","",""))</f>
        <v/>
      </c>
      <c r="M48" s="18" t="str">
        <f>IF($W48="L",IF(INDEX(Leases!$AA$5:$AA$34,$X48)="","",INDEX(Leases!$AA$5:$AA$34,$X48)),IF($W48="V","",""))</f>
        <v/>
      </c>
      <c r="N48" s="19" t="str">
        <f>IF($W48="L",IF(INDEX(Leases!$AB$5:$AB$34,$X48)="","",INDEX(Leases!$AB$5:$AB$34,$X48)),IF($W48="V","",""))</f>
        <v/>
      </c>
      <c r="O48" s="20" t="str">
        <f>IF($W48="L",IF(INDEX(Leases!$AD$5:$AD$34,$X48)=1,INDEX(Leases!$J$5:$J$34,$X48),""),IF($W48="V","",""))</f>
        <v/>
      </c>
      <c r="P48" s="18" t="str">
        <f>IF($W48="L",IF(INDEX(Leases!$AD$5:$AD$34,$X48)=1,INDEX(Leases!$L$5:$L$34,$X48),""),IF($W48="V","",""))</f>
        <v/>
      </c>
      <c r="Q48" s="19" t="str">
        <f>IF($W48="L",INDEX(Leases!$AE$5:$AE$34,$X48),IF($W48="V","",""))</f>
        <v/>
      </c>
      <c r="R48" s="19" t="str">
        <f>IF($W48="L",INDEX(Leases!$AF$5:$AF$34,$X48),IF($W48="V","",""))</f>
        <v/>
      </c>
      <c r="S48" s="19" t="str">
        <f>IF($W48="L",IF(INDEX(Leases!$AH$5:$AH$34,$X48)="","",INDEX(Leases!$AH$5:$AH$34,$X48)),IF($W48="V","",""))</f>
        <v/>
      </c>
      <c r="T48" s="16" t="str">
        <f>IF($W48="L",TRIM(IF(INDEX(Leases!$AJ$5:$AJ$34,$X48)=1,"Awaiting index: not in rent totals. ","")&amp;IF(INDEX(Leases!$AC$5:$AC$34,$X48)=1,"Rent not started. ","")&amp;IF(INDEX(Leases!$AD$5:$AD$34,$X48)=1,"Abated on the date. ","")&amp;IF(INDEX(Leases!$AG$5:$AG$34,$X48)=1,"Letter of credit expired. ","")),IF($W48="V",IF(INDEX(Units!$H$5:$H$54,$X48)&lt;&gt;"","Vacant. A signed lease starts on the Lease start date.","Vacant."),""))</f>
        <v/>
      </c>
      <c r="U48" s="16" t="str">
        <f>IF($W48="L",IF(INDEX(Leases!$R$5:$R$34,$X48)="","",INDEX(Leases!$R$5:$R$34,$X48)),IF($W48="V",IF(INDEX(Units!$D$5:$D$54,$X48)="","",INDEX(Units!$D$5:$D$54,$X48)),""))</f>
        <v/>
      </c>
      <c r="W48" s="15" t="str">
        <f>IF((ROW()-ROW($A$9))&lt;=$W$7,"L",IF((ROW()-ROW($A$9))&lt;=$W$7+$X$7,"V",""))</f>
        <v/>
      </c>
      <c r="X48" s="15" t="str">
        <f>IF(W48="L",MATCH((ROW()-ROW($A$9)),Leases!$AQ$5:$AQ$34,0),IF(W48="V",MATCH((ROW()-ROW($A$9))-$W$7,Units!$J$5:$J$54,0),""))</f>
        <v/>
      </c>
      <c r="Y48" s="15">
        <f>IF(W48="L",INDEX(Leases!$AI$5:$AI$34,$X48),0)</f>
        <v>0</v>
      </c>
    </row>
    <row r="49">
      <c r="A49" s="15" t="str">
        <f>IF($W49="","",(ROW()-ROW($A$9)))</f>
        <v/>
      </c>
      <c r="B49" s="16" t="str">
        <f>IF($W49="L",IF(INDEX(Leases!$A$5:$A$34,$X49)="","",INDEX(Leases!$A$5:$A$34,$X49)),IF($W49="V","Vacant",""))</f>
        <v/>
      </c>
      <c r="C49" s="16" t="str">
        <f>IF($W49="L",IF(INDEX(Leases!$V$5:$V$34,$X49)="","",INDEX(Leases!$V$5:$V$34,$X49)),IF($W49="V",IF(INDEX(Units!$A$5:$A$54,$X49)="","",INDEX(Units!$A$5:$A$54,$X49)),""))</f>
        <v/>
      </c>
      <c r="D49" s="16" t="str">
        <f>IF($W49="L",IF(INDEX(Leases!$B$5:$B$34,$X49)="","",INDEX(Leases!$B$5:$B$34,$X49)),IF($W49="V","",""))</f>
        <v/>
      </c>
      <c r="E49" s="17" t="str">
        <f>IF($W49="L",INDEX(Leases!$W$5:$W$34,$X49),IF($W49="V",IF(INDEX(Units!$B$5:$B$54,$X49)="","",INDEX(Units!$B$5:$B$54,$X49)),""))</f>
        <v/>
      </c>
      <c r="F49" s="18" t="str">
        <f>IF($W49="L",IF(INDEX(Leases!$C$5:$C$34,$X49)="","",INDEX(Leases!$C$5:$C$34,$X49)),IF($W49="V",IF(INDEX(Units!$H$5:$H$54,$X49)="","",INDEX(Units!$H$5:$H$54,$X49)),""))</f>
        <v/>
      </c>
      <c r="G49" s="18" t="str">
        <f>IF($W49="L",IF(INDEX(Leases!$D$5:$D$34,$X49)="","No end date",INDEX(Leases!$D$5:$D$34,$X49)),IF($W49="V","",""))</f>
        <v/>
      </c>
      <c r="H49" s="18" t="str">
        <f>IF($W49="L",IF(INDEX(Leases!$E$5:$E$34,$X49)="","",INDEX(Leases!$E$5:$E$34,$X49)),IF($W49="V","",""))</f>
        <v/>
      </c>
      <c r="I49" s="19" t="str">
        <f>IF($W49="L",IF(INDEX(Leases!$X$5:$X$34,$X49)="","",INDEX(Leases!$X$5:$X$34,$X49)),IF($W49="V","",""))</f>
        <v/>
      </c>
      <c r="J49" s="19" t="str">
        <f>IF($W49="L",IF(INDEX(Leases!$Z$5:$Z$34,$X49)="","",INDEX(Leases!$Z$5:$Z$34,$X49)),IF($W49="V","",""))</f>
        <v/>
      </c>
      <c r="K49" s="19" t="str">
        <f>IF($W49="L",IF(INDEX(Leases!$Y$5:$Y$34,$X49)="","",INDEX(Leases!$Y$5:$Y$34,$X49)),IF($W49="V","",""))</f>
        <v/>
      </c>
      <c r="L49" s="19" t="str">
        <f>IF($W49="L",IF(INDEX(Leases!$M$5:$M$34,$X49)="","",INDEX(Leases!$M$5:$M$34,$X49)),IF($W49="V","",""))</f>
        <v/>
      </c>
      <c r="M49" s="18" t="str">
        <f>IF($W49="L",IF(INDEX(Leases!$AA$5:$AA$34,$X49)="","",INDEX(Leases!$AA$5:$AA$34,$X49)),IF($W49="V","",""))</f>
        <v/>
      </c>
      <c r="N49" s="19" t="str">
        <f>IF($W49="L",IF(INDEX(Leases!$AB$5:$AB$34,$X49)="","",INDEX(Leases!$AB$5:$AB$34,$X49)),IF($W49="V","",""))</f>
        <v/>
      </c>
      <c r="O49" s="20" t="str">
        <f>IF($W49="L",IF(INDEX(Leases!$AD$5:$AD$34,$X49)=1,INDEX(Leases!$J$5:$J$34,$X49),""),IF($W49="V","",""))</f>
        <v/>
      </c>
      <c r="P49" s="18" t="str">
        <f>IF($W49="L",IF(INDEX(Leases!$AD$5:$AD$34,$X49)=1,INDEX(Leases!$L$5:$L$34,$X49),""),IF($W49="V","",""))</f>
        <v/>
      </c>
      <c r="Q49" s="19" t="str">
        <f>IF($W49="L",INDEX(Leases!$AE$5:$AE$34,$X49),IF($W49="V","",""))</f>
        <v/>
      </c>
      <c r="R49" s="19" t="str">
        <f>IF($W49="L",INDEX(Leases!$AF$5:$AF$34,$X49),IF($W49="V","",""))</f>
        <v/>
      </c>
      <c r="S49" s="19" t="str">
        <f>IF($W49="L",IF(INDEX(Leases!$AH$5:$AH$34,$X49)="","",INDEX(Leases!$AH$5:$AH$34,$X49)),IF($W49="V","",""))</f>
        <v/>
      </c>
      <c r="T49" s="16" t="str">
        <f>IF($W49="L",TRIM(IF(INDEX(Leases!$AJ$5:$AJ$34,$X49)=1,"Awaiting index: not in rent totals. ","")&amp;IF(INDEX(Leases!$AC$5:$AC$34,$X49)=1,"Rent not started. ","")&amp;IF(INDEX(Leases!$AD$5:$AD$34,$X49)=1,"Abated on the date. ","")&amp;IF(INDEX(Leases!$AG$5:$AG$34,$X49)=1,"Letter of credit expired. ","")),IF($W49="V",IF(INDEX(Units!$H$5:$H$54,$X49)&lt;&gt;"","Vacant. A signed lease starts on the Lease start date.","Vacant."),""))</f>
        <v/>
      </c>
      <c r="U49" s="16" t="str">
        <f>IF($W49="L",IF(INDEX(Leases!$R$5:$R$34,$X49)="","",INDEX(Leases!$R$5:$R$34,$X49)),IF($W49="V",IF(INDEX(Units!$D$5:$D$54,$X49)="","",INDEX(Units!$D$5:$D$54,$X49)),""))</f>
        <v/>
      </c>
      <c r="W49" s="15" t="str">
        <f>IF((ROW()-ROW($A$9))&lt;=$W$7,"L",IF((ROW()-ROW($A$9))&lt;=$W$7+$X$7,"V",""))</f>
        <v/>
      </c>
      <c r="X49" s="15" t="str">
        <f>IF(W49="L",MATCH((ROW()-ROW($A$9)),Leases!$AQ$5:$AQ$34,0),IF(W49="V",MATCH((ROW()-ROW($A$9))-$W$7,Units!$J$5:$J$54,0),""))</f>
        <v/>
      </c>
      <c r="Y49" s="15">
        <f>IF(W49="L",INDEX(Leases!$AI$5:$AI$34,$X49),0)</f>
        <v>0</v>
      </c>
    </row>
    <row r="50">
      <c r="A50" s="15" t="str">
        <f>IF($W50="","",(ROW()-ROW($A$9)))</f>
        <v/>
      </c>
      <c r="B50" s="16" t="str">
        <f>IF($W50="L",IF(INDEX(Leases!$A$5:$A$34,$X50)="","",INDEX(Leases!$A$5:$A$34,$X50)),IF($W50="V","Vacant",""))</f>
        <v/>
      </c>
      <c r="C50" s="16" t="str">
        <f>IF($W50="L",IF(INDEX(Leases!$V$5:$V$34,$X50)="","",INDEX(Leases!$V$5:$V$34,$X50)),IF($W50="V",IF(INDEX(Units!$A$5:$A$54,$X50)="","",INDEX(Units!$A$5:$A$54,$X50)),""))</f>
        <v/>
      </c>
      <c r="D50" s="16" t="str">
        <f>IF($W50="L",IF(INDEX(Leases!$B$5:$B$34,$X50)="","",INDEX(Leases!$B$5:$B$34,$X50)),IF($W50="V","",""))</f>
        <v/>
      </c>
      <c r="E50" s="17" t="str">
        <f>IF($W50="L",INDEX(Leases!$W$5:$W$34,$X50),IF($W50="V",IF(INDEX(Units!$B$5:$B$54,$X50)="","",INDEX(Units!$B$5:$B$54,$X50)),""))</f>
        <v/>
      </c>
      <c r="F50" s="18" t="str">
        <f>IF($W50="L",IF(INDEX(Leases!$C$5:$C$34,$X50)="","",INDEX(Leases!$C$5:$C$34,$X50)),IF($W50="V",IF(INDEX(Units!$H$5:$H$54,$X50)="","",INDEX(Units!$H$5:$H$54,$X50)),""))</f>
        <v/>
      </c>
      <c r="G50" s="18" t="str">
        <f>IF($W50="L",IF(INDEX(Leases!$D$5:$D$34,$X50)="","No end date",INDEX(Leases!$D$5:$D$34,$X50)),IF($W50="V","",""))</f>
        <v/>
      </c>
      <c r="H50" s="18" t="str">
        <f>IF($W50="L",IF(INDEX(Leases!$E$5:$E$34,$X50)="","",INDEX(Leases!$E$5:$E$34,$X50)),IF($W50="V","",""))</f>
        <v/>
      </c>
      <c r="I50" s="19" t="str">
        <f>IF($W50="L",IF(INDEX(Leases!$X$5:$X$34,$X50)="","",INDEX(Leases!$X$5:$X$34,$X50)),IF($W50="V","",""))</f>
        <v/>
      </c>
      <c r="J50" s="19" t="str">
        <f>IF($W50="L",IF(INDEX(Leases!$Z$5:$Z$34,$X50)="","",INDEX(Leases!$Z$5:$Z$34,$X50)),IF($W50="V","",""))</f>
        <v/>
      </c>
      <c r="K50" s="19" t="str">
        <f>IF($W50="L",IF(INDEX(Leases!$Y$5:$Y$34,$X50)="","",INDEX(Leases!$Y$5:$Y$34,$X50)),IF($W50="V","",""))</f>
        <v/>
      </c>
      <c r="L50" s="19" t="str">
        <f>IF($W50="L",IF(INDEX(Leases!$M$5:$M$34,$X50)="","",INDEX(Leases!$M$5:$M$34,$X50)),IF($W50="V","",""))</f>
        <v/>
      </c>
      <c r="M50" s="18" t="str">
        <f>IF($W50="L",IF(INDEX(Leases!$AA$5:$AA$34,$X50)="","",INDEX(Leases!$AA$5:$AA$34,$X50)),IF($W50="V","",""))</f>
        <v/>
      </c>
      <c r="N50" s="19" t="str">
        <f>IF($W50="L",IF(INDEX(Leases!$AB$5:$AB$34,$X50)="","",INDEX(Leases!$AB$5:$AB$34,$X50)),IF($W50="V","",""))</f>
        <v/>
      </c>
      <c r="O50" s="20" t="str">
        <f>IF($W50="L",IF(INDEX(Leases!$AD$5:$AD$34,$X50)=1,INDEX(Leases!$J$5:$J$34,$X50),""),IF($W50="V","",""))</f>
        <v/>
      </c>
      <c r="P50" s="18" t="str">
        <f>IF($W50="L",IF(INDEX(Leases!$AD$5:$AD$34,$X50)=1,INDEX(Leases!$L$5:$L$34,$X50),""),IF($W50="V","",""))</f>
        <v/>
      </c>
      <c r="Q50" s="19" t="str">
        <f>IF($W50="L",INDEX(Leases!$AE$5:$AE$34,$X50),IF($W50="V","",""))</f>
        <v/>
      </c>
      <c r="R50" s="19" t="str">
        <f>IF($W50="L",INDEX(Leases!$AF$5:$AF$34,$X50),IF($W50="V","",""))</f>
        <v/>
      </c>
      <c r="S50" s="19" t="str">
        <f>IF($W50="L",IF(INDEX(Leases!$AH$5:$AH$34,$X50)="","",INDEX(Leases!$AH$5:$AH$34,$X50)),IF($W50="V","",""))</f>
        <v/>
      </c>
      <c r="T50" s="16" t="str">
        <f>IF($W50="L",TRIM(IF(INDEX(Leases!$AJ$5:$AJ$34,$X50)=1,"Awaiting index: not in rent totals. ","")&amp;IF(INDEX(Leases!$AC$5:$AC$34,$X50)=1,"Rent not started. ","")&amp;IF(INDEX(Leases!$AD$5:$AD$34,$X50)=1,"Abated on the date. ","")&amp;IF(INDEX(Leases!$AG$5:$AG$34,$X50)=1,"Letter of credit expired. ","")),IF($W50="V",IF(INDEX(Units!$H$5:$H$54,$X50)&lt;&gt;"","Vacant. A signed lease starts on the Lease start date.","Vacant."),""))</f>
        <v/>
      </c>
      <c r="U50" s="16" t="str">
        <f>IF($W50="L",IF(INDEX(Leases!$R$5:$R$34,$X50)="","",INDEX(Leases!$R$5:$R$34,$X50)),IF($W50="V",IF(INDEX(Units!$D$5:$D$54,$X50)="","",INDEX(Units!$D$5:$D$54,$X50)),""))</f>
        <v/>
      </c>
      <c r="W50" s="15" t="str">
        <f>IF((ROW()-ROW($A$9))&lt;=$W$7,"L",IF((ROW()-ROW($A$9))&lt;=$W$7+$X$7,"V",""))</f>
        <v/>
      </c>
      <c r="X50" s="15" t="str">
        <f>IF(W50="L",MATCH((ROW()-ROW($A$9)),Leases!$AQ$5:$AQ$34,0),IF(W50="V",MATCH((ROW()-ROW($A$9))-$W$7,Units!$J$5:$J$54,0),""))</f>
        <v/>
      </c>
      <c r="Y50" s="15">
        <f>IF(W50="L",INDEX(Leases!$AI$5:$AI$34,$X50),0)</f>
        <v>0</v>
      </c>
    </row>
    <row r="51">
      <c r="A51" s="15" t="str">
        <f>IF($W51="","",(ROW()-ROW($A$9)))</f>
        <v/>
      </c>
      <c r="B51" s="16" t="str">
        <f>IF($W51="L",IF(INDEX(Leases!$A$5:$A$34,$X51)="","",INDEX(Leases!$A$5:$A$34,$X51)),IF($W51="V","Vacant",""))</f>
        <v/>
      </c>
      <c r="C51" s="16" t="str">
        <f>IF($W51="L",IF(INDEX(Leases!$V$5:$V$34,$X51)="","",INDEX(Leases!$V$5:$V$34,$X51)),IF($W51="V",IF(INDEX(Units!$A$5:$A$54,$X51)="","",INDEX(Units!$A$5:$A$54,$X51)),""))</f>
        <v/>
      </c>
      <c r="D51" s="16" t="str">
        <f>IF($W51="L",IF(INDEX(Leases!$B$5:$B$34,$X51)="","",INDEX(Leases!$B$5:$B$34,$X51)),IF($W51="V","",""))</f>
        <v/>
      </c>
      <c r="E51" s="17" t="str">
        <f>IF($W51="L",INDEX(Leases!$W$5:$W$34,$X51),IF($W51="V",IF(INDEX(Units!$B$5:$B$54,$X51)="","",INDEX(Units!$B$5:$B$54,$X51)),""))</f>
        <v/>
      </c>
      <c r="F51" s="18" t="str">
        <f>IF($W51="L",IF(INDEX(Leases!$C$5:$C$34,$X51)="","",INDEX(Leases!$C$5:$C$34,$X51)),IF($W51="V",IF(INDEX(Units!$H$5:$H$54,$X51)="","",INDEX(Units!$H$5:$H$54,$X51)),""))</f>
        <v/>
      </c>
      <c r="G51" s="18" t="str">
        <f>IF($W51="L",IF(INDEX(Leases!$D$5:$D$34,$X51)="","No end date",INDEX(Leases!$D$5:$D$34,$X51)),IF($W51="V","",""))</f>
        <v/>
      </c>
      <c r="H51" s="18" t="str">
        <f>IF($W51="L",IF(INDEX(Leases!$E$5:$E$34,$X51)="","",INDEX(Leases!$E$5:$E$34,$X51)),IF($W51="V","",""))</f>
        <v/>
      </c>
      <c r="I51" s="19" t="str">
        <f>IF($W51="L",IF(INDEX(Leases!$X$5:$X$34,$X51)="","",INDEX(Leases!$X$5:$X$34,$X51)),IF($W51="V","",""))</f>
        <v/>
      </c>
      <c r="J51" s="19" t="str">
        <f>IF($W51="L",IF(INDEX(Leases!$Z$5:$Z$34,$X51)="","",INDEX(Leases!$Z$5:$Z$34,$X51)),IF($W51="V","",""))</f>
        <v/>
      </c>
      <c r="K51" s="19" t="str">
        <f>IF($W51="L",IF(INDEX(Leases!$Y$5:$Y$34,$X51)="","",INDEX(Leases!$Y$5:$Y$34,$X51)),IF($W51="V","",""))</f>
        <v/>
      </c>
      <c r="L51" s="19" t="str">
        <f>IF($W51="L",IF(INDEX(Leases!$M$5:$M$34,$X51)="","",INDEX(Leases!$M$5:$M$34,$X51)),IF($W51="V","",""))</f>
        <v/>
      </c>
      <c r="M51" s="18" t="str">
        <f>IF($W51="L",IF(INDEX(Leases!$AA$5:$AA$34,$X51)="","",INDEX(Leases!$AA$5:$AA$34,$X51)),IF($W51="V","",""))</f>
        <v/>
      </c>
      <c r="N51" s="19" t="str">
        <f>IF($W51="L",IF(INDEX(Leases!$AB$5:$AB$34,$X51)="","",INDEX(Leases!$AB$5:$AB$34,$X51)),IF($W51="V","",""))</f>
        <v/>
      </c>
      <c r="O51" s="20" t="str">
        <f>IF($W51="L",IF(INDEX(Leases!$AD$5:$AD$34,$X51)=1,INDEX(Leases!$J$5:$J$34,$X51),""),IF($W51="V","",""))</f>
        <v/>
      </c>
      <c r="P51" s="18" t="str">
        <f>IF($W51="L",IF(INDEX(Leases!$AD$5:$AD$34,$X51)=1,INDEX(Leases!$L$5:$L$34,$X51),""),IF($W51="V","",""))</f>
        <v/>
      </c>
      <c r="Q51" s="19" t="str">
        <f>IF($W51="L",INDEX(Leases!$AE$5:$AE$34,$X51),IF($W51="V","",""))</f>
        <v/>
      </c>
      <c r="R51" s="19" t="str">
        <f>IF($W51="L",INDEX(Leases!$AF$5:$AF$34,$X51),IF($W51="V","",""))</f>
        <v/>
      </c>
      <c r="S51" s="19" t="str">
        <f>IF($W51="L",IF(INDEX(Leases!$AH$5:$AH$34,$X51)="","",INDEX(Leases!$AH$5:$AH$34,$X51)),IF($W51="V","",""))</f>
        <v/>
      </c>
      <c r="T51" s="16" t="str">
        <f>IF($W51="L",TRIM(IF(INDEX(Leases!$AJ$5:$AJ$34,$X51)=1,"Awaiting index: not in rent totals. ","")&amp;IF(INDEX(Leases!$AC$5:$AC$34,$X51)=1,"Rent not started. ","")&amp;IF(INDEX(Leases!$AD$5:$AD$34,$X51)=1,"Abated on the date. ","")&amp;IF(INDEX(Leases!$AG$5:$AG$34,$X51)=1,"Letter of credit expired. ","")),IF($W51="V",IF(INDEX(Units!$H$5:$H$54,$X51)&lt;&gt;"","Vacant. A signed lease starts on the Lease start date.","Vacant."),""))</f>
        <v/>
      </c>
      <c r="U51" s="16" t="str">
        <f>IF($W51="L",IF(INDEX(Leases!$R$5:$R$34,$X51)="","",INDEX(Leases!$R$5:$R$34,$X51)),IF($W51="V",IF(INDEX(Units!$D$5:$D$54,$X51)="","",INDEX(Units!$D$5:$D$54,$X51)),""))</f>
        <v/>
      </c>
      <c r="W51" s="15" t="str">
        <f>IF((ROW()-ROW($A$9))&lt;=$W$7,"L",IF((ROW()-ROW($A$9))&lt;=$W$7+$X$7,"V",""))</f>
        <v/>
      </c>
      <c r="X51" s="15" t="str">
        <f>IF(W51="L",MATCH((ROW()-ROW($A$9)),Leases!$AQ$5:$AQ$34,0),IF(W51="V",MATCH((ROW()-ROW($A$9))-$W$7,Units!$J$5:$J$54,0),""))</f>
        <v/>
      </c>
      <c r="Y51" s="15">
        <f>IF(W51="L",INDEX(Leases!$AI$5:$AI$34,$X51),0)</f>
        <v>0</v>
      </c>
    </row>
    <row r="52">
      <c r="A52" s="15" t="str">
        <f>IF($W52="","",(ROW()-ROW($A$9)))</f>
        <v/>
      </c>
      <c r="B52" s="16" t="str">
        <f>IF($W52="L",IF(INDEX(Leases!$A$5:$A$34,$X52)="","",INDEX(Leases!$A$5:$A$34,$X52)),IF($W52="V","Vacant",""))</f>
        <v/>
      </c>
      <c r="C52" s="16" t="str">
        <f>IF($W52="L",IF(INDEX(Leases!$V$5:$V$34,$X52)="","",INDEX(Leases!$V$5:$V$34,$X52)),IF($W52="V",IF(INDEX(Units!$A$5:$A$54,$X52)="","",INDEX(Units!$A$5:$A$54,$X52)),""))</f>
        <v/>
      </c>
      <c r="D52" s="16" t="str">
        <f>IF($W52="L",IF(INDEX(Leases!$B$5:$B$34,$X52)="","",INDEX(Leases!$B$5:$B$34,$X52)),IF($W52="V","",""))</f>
        <v/>
      </c>
      <c r="E52" s="17" t="str">
        <f>IF($W52="L",INDEX(Leases!$W$5:$W$34,$X52),IF($W52="V",IF(INDEX(Units!$B$5:$B$54,$X52)="","",INDEX(Units!$B$5:$B$54,$X52)),""))</f>
        <v/>
      </c>
      <c r="F52" s="18" t="str">
        <f>IF($W52="L",IF(INDEX(Leases!$C$5:$C$34,$X52)="","",INDEX(Leases!$C$5:$C$34,$X52)),IF($W52="V",IF(INDEX(Units!$H$5:$H$54,$X52)="","",INDEX(Units!$H$5:$H$54,$X52)),""))</f>
        <v/>
      </c>
      <c r="G52" s="18" t="str">
        <f>IF($W52="L",IF(INDEX(Leases!$D$5:$D$34,$X52)="","No end date",INDEX(Leases!$D$5:$D$34,$X52)),IF($W52="V","",""))</f>
        <v/>
      </c>
      <c r="H52" s="18" t="str">
        <f>IF($W52="L",IF(INDEX(Leases!$E$5:$E$34,$X52)="","",INDEX(Leases!$E$5:$E$34,$X52)),IF($W52="V","",""))</f>
        <v/>
      </c>
      <c r="I52" s="19" t="str">
        <f>IF($W52="L",IF(INDEX(Leases!$X$5:$X$34,$X52)="","",INDEX(Leases!$X$5:$X$34,$X52)),IF($W52="V","",""))</f>
        <v/>
      </c>
      <c r="J52" s="19" t="str">
        <f>IF($W52="L",IF(INDEX(Leases!$Z$5:$Z$34,$X52)="","",INDEX(Leases!$Z$5:$Z$34,$X52)),IF($W52="V","",""))</f>
        <v/>
      </c>
      <c r="K52" s="19" t="str">
        <f>IF($W52="L",IF(INDEX(Leases!$Y$5:$Y$34,$X52)="","",INDEX(Leases!$Y$5:$Y$34,$X52)),IF($W52="V","",""))</f>
        <v/>
      </c>
      <c r="L52" s="19" t="str">
        <f>IF($W52="L",IF(INDEX(Leases!$M$5:$M$34,$X52)="","",INDEX(Leases!$M$5:$M$34,$X52)),IF($W52="V","",""))</f>
        <v/>
      </c>
      <c r="M52" s="18" t="str">
        <f>IF($W52="L",IF(INDEX(Leases!$AA$5:$AA$34,$X52)="","",INDEX(Leases!$AA$5:$AA$34,$X52)),IF($W52="V","",""))</f>
        <v/>
      </c>
      <c r="N52" s="19" t="str">
        <f>IF($W52="L",IF(INDEX(Leases!$AB$5:$AB$34,$X52)="","",INDEX(Leases!$AB$5:$AB$34,$X52)),IF($W52="V","",""))</f>
        <v/>
      </c>
      <c r="O52" s="20" t="str">
        <f>IF($W52="L",IF(INDEX(Leases!$AD$5:$AD$34,$X52)=1,INDEX(Leases!$J$5:$J$34,$X52),""),IF($W52="V","",""))</f>
        <v/>
      </c>
      <c r="P52" s="18" t="str">
        <f>IF($W52="L",IF(INDEX(Leases!$AD$5:$AD$34,$X52)=1,INDEX(Leases!$L$5:$L$34,$X52),""),IF($W52="V","",""))</f>
        <v/>
      </c>
      <c r="Q52" s="19" t="str">
        <f>IF($W52="L",INDEX(Leases!$AE$5:$AE$34,$X52),IF($W52="V","",""))</f>
        <v/>
      </c>
      <c r="R52" s="19" t="str">
        <f>IF($W52="L",INDEX(Leases!$AF$5:$AF$34,$X52),IF($W52="V","",""))</f>
        <v/>
      </c>
      <c r="S52" s="19" t="str">
        <f>IF($W52="L",IF(INDEX(Leases!$AH$5:$AH$34,$X52)="","",INDEX(Leases!$AH$5:$AH$34,$X52)),IF($W52="V","",""))</f>
        <v/>
      </c>
      <c r="T52" s="16" t="str">
        <f>IF($W52="L",TRIM(IF(INDEX(Leases!$AJ$5:$AJ$34,$X52)=1,"Awaiting index: not in rent totals. ","")&amp;IF(INDEX(Leases!$AC$5:$AC$34,$X52)=1,"Rent not started. ","")&amp;IF(INDEX(Leases!$AD$5:$AD$34,$X52)=1,"Abated on the date. ","")&amp;IF(INDEX(Leases!$AG$5:$AG$34,$X52)=1,"Letter of credit expired. ","")),IF($W52="V",IF(INDEX(Units!$H$5:$H$54,$X52)&lt;&gt;"","Vacant. A signed lease starts on the Lease start date.","Vacant."),""))</f>
        <v/>
      </c>
      <c r="U52" s="16" t="str">
        <f>IF($W52="L",IF(INDEX(Leases!$R$5:$R$34,$X52)="","",INDEX(Leases!$R$5:$R$34,$X52)),IF($W52="V",IF(INDEX(Units!$D$5:$D$54,$X52)="","",INDEX(Units!$D$5:$D$54,$X52)),""))</f>
        <v/>
      </c>
      <c r="W52" s="15" t="str">
        <f>IF((ROW()-ROW($A$9))&lt;=$W$7,"L",IF((ROW()-ROW($A$9))&lt;=$W$7+$X$7,"V",""))</f>
        <v/>
      </c>
      <c r="X52" s="15" t="str">
        <f>IF(W52="L",MATCH((ROW()-ROW($A$9)),Leases!$AQ$5:$AQ$34,0),IF(W52="V",MATCH((ROW()-ROW($A$9))-$W$7,Units!$J$5:$J$54,0),""))</f>
        <v/>
      </c>
      <c r="Y52" s="15">
        <f>IF(W52="L",INDEX(Leases!$AI$5:$AI$34,$X52),0)</f>
        <v>0</v>
      </c>
    </row>
    <row r="53">
      <c r="A53" s="15" t="str">
        <f>IF($W53="","",(ROW()-ROW($A$9)))</f>
        <v/>
      </c>
      <c r="B53" s="16" t="str">
        <f>IF($W53="L",IF(INDEX(Leases!$A$5:$A$34,$X53)="","",INDEX(Leases!$A$5:$A$34,$X53)),IF($W53="V","Vacant",""))</f>
        <v/>
      </c>
      <c r="C53" s="16" t="str">
        <f>IF($W53="L",IF(INDEX(Leases!$V$5:$V$34,$X53)="","",INDEX(Leases!$V$5:$V$34,$X53)),IF($W53="V",IF(INDEX(Units!$A$5:$A$54,$X53)="","",INDEX(Units!$A$5:$A$54,$X53)),""))</f>
        <v/>
      </c>
      <c r="D53" s="16" t="str">
        <f>IF($W53="L",IF(INDEX(Leases!$B$5:$B$34,$X53)="","",INDEX(Leases!$B$5:$B$34,$X53)),IF($W53="V","",""))</f>
        <v/>
      </c>
      <c r="E53" s="17" t="str">
        <f>IF($W53="L",INDEX(Leases!$W$5:$W$34,$X53),IF($W53="V",IF(INDEX(Units!$B$5:$B$54,$X53)="","",INDEX(Units!$B$5:$B$54,$X53)),""))</f>
        <v/>
      </c>
      <c r="F53" s="18" t="str">
        <f>IF($W53="L",IF(INDEX(Leases!$C$5:$C$34,$X53)="","",INDEX(Leases!$C$5:$C$34,$X53)),IF($W53="V",IF(INDEX(Units!$H$5:$H$54,$X53)="","",INDEX(Units!$H$5:$H$54,$X53)),""))</f>
        <v/>
      </c>
      <c r="G53" s="18" t="str">
        <f>IF($W53="L",IF(INDEX(Leases!$D$5:$D$34,$X53)="","No end date",INDEX(Leases!$D$5:$D$34,$X53)),IF($W53="V","",""))</f>
        <v/>
      </c>
      <c r="H53" s="18" t="str">
        <f>IF($W53="L",IF(INDEX(Leases!$E$5:$E$34,$X53)="","",INDEX(Leases!$E$5:$E$34,$X53)),IF($W53="V","",""))</f>
        <v/>
      </c>
      <c r="I53" s="19" t="str">
        <f>IF($W53="L",IF(INDEX(Leases!$X$5:$X$34,$X53)="","",INDEX(Leases!$X$5:$X$34,$X53)),IF($W53="V","",""))</f>
        <v/>
      </c>
      <c r="J53" s="19" t="str">
        <f>IF($W53="L",IF(INDEX(Leases!$Z$5:$Z$34,$X53)="","",INDEX(Leases!$Z$5:$Z$34,$X53)),IF($W53="V","",""))</f>
        <v/>
      </c>
      <c r="K53" s="19" t="str">
        <f>IF($W53="L",IF(INDEX(Leases!$Y$5:$Y$34,$X53)="","",INDEX(Leases!$Y$5:$Y$34,$X53)),IF($W53="V","",""))</f>
        <v/>
      </c>
      <c r="L53" s="19" t="str">
        <f>IF($W53="L",IF(INDEX(Leases!$M$5:$M$34,$X53)="","",INDEX(Leases!$M$5:$M$34,$X53)),IF($W53="V","",""))</f>
        <v/>
      </c>
      <c r="M53" s="18" t="str">
        <f>IF($W53="L",IF(INDEX(Leases!$AA$5:$AA$34,$X53)="","",INDEX(Leases!$AA$5:$AA$34,$X53)),IF($W53="V","",""))</f>
        <v/>
      </c>
      <c r="N53" s="19" t="str">
        <f>IF($W53="L",IF(INDEX(Leases!$AB$5:$AB$34,$X53)="","",INDEX(Leases!$AB$5:$AB$34,$X53)),IF($W53="V","",""))</f>
        <v/>
      </c>
      <c r="O53" s="20" t="str">
        <f>IF($W53="L",IF(INDEX(Leases!$AD$5:$AD$34,$X53)=1,INDEX(Leases!$J$5:$J$34,$X53),""),IF($W53="V","",""))</f>
        <v/>
      </c>
      <c r="P53" s="18" t="str">
        <f>IF($W53="L",IF(INDEX(Leases!$AD$5:$AD$34,$X53)=1,INDEX(Leases!$L$5:$L$34,$X53),""),IF($W53="V","",""))</f>
        <v/>
      </c>
      <c r="Q53" s="19" t="str">
        <f>IF($W53="L",INDEX(Leases!$AE$5:$AE$34,$X53),IF($W53="V","",""))</f>
        <v/>
      </c>
      <c r="R53" s="19" t="str">
        <f>IF($W53="L",INDEX(Leases!$AF$5:$AF$34,$X53),IF($W53="V","",""))</f>
        <v/>
      </c>
      <c r="S53" s="19" t="str">
        <f>IF($W53="L",IF(INDEX(Leases!$AH$5:$AH$34,$X53)="","",INDEX(Leases!$AH$5:$AH$34,$X53)),IF($W53="V","",""))</f>
        <v/>
      </c>
      <c r="T53" s="16" t="str">
        <f>IF($W53="L",TRIM(IF(INDEX(Leases!$AJ$5:$AJ$34,$X53)=1,"Awaiting index: not in rent totals. ","")&amp;IF(INDEX(Leases!$AC$5:$AC$34,$X53)=1,"Rent not started. ","")&amp;IF(INDEX(Leases!$AD$5:$AD$34,$X53)=1,"Abated on the date. ","")&amp;IF(INDEX(Leases!$AG$5:$AG$34,$X53)=1,"Letter of credit expired. ","")),IF($W53="V",IF(INDEX(Units!$H$5:$H$54,$X53)&lt;&gt;"","Vacant. A signed lease starts on the Lease start date.","Vacant."),""))</f>
        <v/>
      </c>
      <c r="U53" s="16" t="str">
        <f>IF($W53="L",IF(INDEX(Leases!$R$5:$R$34,$X53)="","",INDEX(Leases!$R$5:$R$34,$X53)),IF($W53="V",IF(INDEX(Units!$D$5:$D$54,$X53)="","",INDEX(Units!$D$5:$D$54,$X53)),""))</f>
        <v/>
      </c>
      <c r="W53" s="15" t="str">
        <f>IF((ROW()-ROW($A$9))&lt;=$W$7,"L",IF((ROW()-ROW($A$9))&lt;=$W$7+$X$7,"V",""))</f>
        <v/>
      </c>
      <c r="X53" s="15" t="str">
        <f>IF(W53="L",MATCH((ROW()-ROW($A$9)),Leases!$AQ$5:$AQ$34,0),IF(W53="V",MATCH((ROW()-ROW($A$9))-$W$7,Units!$J$5:$J$54,0),""))</f>
        <v/>
      </c>
      <c r="Y53" s="15">
        <f>IF(W53="L",INDEX(Leases!$AI$5:$AI$34,$X53),0)</f>
        <v>0</v>
      </c>
    </row>
    <row r="54">
      <c r="A54" s="15" t="str">
        <f>IF($W54="","",(ROW()-ROW($A$9)))</f>
        <v/>
      </c>
      <c r="B54" s="16" t="str">
        <f>IF($W54="L",IF(INDEX(Leases!$A$5:$A$34,$X54)="","",INDEX(Leases!$A$5:$A$34,$X54)),IF($W54="V","Vacant",""))</f>
        <v/>
      </c>
      <c r="C54" s="16" t="str">
        <f>IF($W54="L",IF(INDEX(Leases!$V$5:$V$34,$X54)="","",INDEX(Leases!$V$5:$V$34,$X54)),IF($W54="V",IF(INDEX(Units!$A$5:$A$54,$X54)="","",INDEX(Units!$A$5:$A$54,$X54)),""))</f>
        <v/>
      </c>
      <c r="D54" s="16" t="str">
        <f>IF($W54="L",IF(INDEX(Leases!$B$5:$B$34,$X54)="","",INDEX(Leases!$B$5:$B$34,$X54)),IF($W54="V","",""))</f>
        <v/>
      </c>
      <c r="E54" s="17" t="str">
        <f>IF($W54="L",INDEX(Leases!$W$5:$W$34,$X54),IF($W54="V",IF(INDEX(Units!$B$5:$B$54,$X54)="","",INDEX(Units!$B$5:$B$54,$X54)),""))</f>
        <v/>
      </c>
      <c r="F54" s="18" t="str">
        <f>IF($W54="L",IF(INDEX(Leases!$C$5:$C$34,$X54)="","",INDEX(Leases!$C$5:$C$34,$X54)),IF($W54="V",IF(INDEX(Units!$H$5:$H$54,$X54)="","",INDEX(Units!$H$5:$H$54,$X54)),""))</f>
        <v/>
      </c>
      <c r="G54" s="18" t="str">
        <f>IF($W54="L",IF(INDEX(Leases!$D$5:$D$34,$X54)="","No end date",INDEX(Leases!$D$5:$D$34,$X54)),IF($W54="V","",""))</f>
        <v/>
      </c>
      <c r="H54" s="18" t="str">
        <f>IF($W54="L",IF(INDEX(Leases!$E$5:$E$34,$X54)="","",INDEX(Leases!$E$5:$E$34,$X54)),IF($W54="V","",""))</f>
        <v/>
      </c>
      <c r="I54" s="19" t="str">
        <f>IF($W54="L",IF(INDEX(Leases!$X$5:$X$34,$X54)="","",INDEX(Leases!$X$5:$X$34,$X54)),IF($W54="V","",""))</f>
        <v/>
      </c>
      <c r="J54" s="19" t="str">
        <f>IF($W54="L",IF(INDEX(Leases!$Z$5:$Z$34,$X54)="","",INDEX(Leases!$Z$5:$Z$34,$X54)),IF($W54="V","",""))</f>
        <v/>
      </c>
      <c r="K54" s="19" t="str">
        <f>IF($W54="L",IF(INDEX(Leases!$Y$5:$Y$34,$X54)="","",INDEX(Leases!$Y$5:$Y$34,$X54)),IF($W54="V","",""))</f>
        <v/>
      </c>
      <c r="L54" s="19" t="str">
        <f>IF($W54="L",IF(INDEX(Leases!$M$5:$M$34,$X54)="","",INDEX(Leases!$M$5:$M$34,$X54)),IF($W54="V","",""))</f>
        <v/>
      </c>
      <c r="M54" s="18" t="str">
        <f>IF($W54="L",IF(INDEX(Leases!$AA$5:$AA$34,$X54)="","",INDEX(Leases!$AA$5:$AA$34,$X54)),IF($W54="V","",""))</f>
        <v/>
      </c>
      <c r="N54" s="19" t="str">
        <f>IF($W54="L",IF(INDEX(Leases!$AB$5:$AB$34,$X54)="","",INDEX(Leases!$AB$5:$AB$34,$X54)),IF($W54="V","",""))</f>
        <v/>
      </c>
      <c r="O54" s="20" t="str">
        <f>IF($W54="L",IF(INDEX(Leases!$AD$5:$AD$34,$X54)=1,INDEX(Leases!$J$5:$J$34,$X54),""),IF($W54="V","",""))</f>
        <v/>
      </c>
      <c r="P54" s="18" t="str">
        <f>IF($W54="L",IF(INDEX(Leases!$AD$5:$AD$34,$X54)=1,INDEX(Leases!$L$5:$L$34,$X54),""),IF($W54="V","",""))</f>
        <v/>
      </c>
      <c r="Q54" s="19" t="str">
        <f>IF($W54="L",INDEX(Leases!$AE$5:$AE$34,$X54),IF($W54="V","",""))</f>
        <v/>
      </c>
      <c r="R54" s="19" t="str">
        <f>IF($W54="L",INDEX(Leases!$AF$5:$AF$34,$X54),IF($W54="V","",""))</f>
        <v/>
      </c>
      <c r="S54" s="19" t="str">
        <f>IF($W54="L",IF(INDEX(Leases!$AH$5:$AH$34,$X54)="","",INDEX(Leases!$AH$5:$AH$34,$X54)),IF($W54="V","",""))</f>
        <v/>
      </c>
      <c r="T54" s="16" t="str">
        <f>IF($W54="L",TRIM(IF(INDEX(Leases!$AJ$5:$AJ$34,$X54)=1,"Awaiting index: not in rent totals. ","")&amp;IF(INDEX(Leases!$AC$5:$AC$34,$X54)=1,"Rent not started. ","")&amp;IF(INDEX(Leases!$AD$5:$AD$34,$X54)=1,"Abated on the date. ","")&amp;IF(INDEX(Leases!$AG$5:$AG$34,$X54)=1,"Letter of credit expired. ","")),IF($W54="V",IF(INDEX(Units!$H$5:$H$54,$X54)&lt;&gt;"","Vacant. A signed lease starts on the Lease start date.","Vacant."),""))</f>
        <v/>
      </c>
      <c r="U54" s="16" t="str">
        <f>IF($W54="L",IF(INDEX(Leases!$R$5:$R$34,$X54)="","",INDEX(Leases!$R$5:$R$34,$X54)),IF($W54="V",IF(INDEX(Units!$D$5:$D$54,$X54)="","",INDEX(Units!$D$5:$D$54,$X54)),""))</f>
        <v/>
      </c>
      <c r="W54" s="15" t="str">
        <f>IF((ROW()-ROW($A$9))&lt;=$W$7,"L",IF((ROW()-ROW($A$9))&lt;=$W$7+$X$7,"V",""))</f>
        <v/>
      </c>
      <c r="X54" s="15" t="str">
        <f>IF(W54="L",MATCH((ROW()-ROW($A$9)),Leases!$AQ$5:$AQ$34,0),IF(W54="V",MATCH((ROW()-ROW($A$9))-$W$7,Units!$J$5:$J$54,0),""))</f>
        <v/>
      </c>
      <c r="Y54" s="15">
        <f>IF(W54="L",INDEX(Leases!$AI$5:$AI$34,$X54),0)</f>
        <v>0</v>
      </c>
    </row>
    <row r="55">
      <c r="A55" s="15" t="str">
        <f>IF($W55="","",(ROW()-ROW($A$9)))</f>
        <v/>
      </c>
      <c r="B55" s="16" t="str">
        <f>IF($W55="L",IF(INDEX(Leases!$A$5:$A$34,$X55)="","",INDEX(Leases!$A$5:$A$34,$X55)),IF($W55="V","Vacant",""))</f>
        <v/>
      </c>
      <c r="C55" s="16" t="str">
        <f>IF($W55="L",IF(INDEX(Leases!$V$5:$V$34,$X55)="","",INDEX(Leases!$V$5:$V$34,$X55)),IF($W55="V",IF(INDEX(Units!$A$5:$A$54,$X55)="","",INDEX(Units!$A$5:$A$54,$X55)),""))</f>
        <v/>
      </c>
      <c r="D55" s="16" t="str">
        <f>IF($W55="L",IF(INDEX(Leases!$B$5:$B$34,$X55)="","",INDEX(Leases!$B$5:$B$34,$X55)),IF($W55="V","",""))</f>
        <v/>
      </c>
      <c r="E55" s="17" t="str">
        <f>IF($W55="L",INDEX(Leases!$W$5:$W$34,$X55),IF($W55="V",IF(INDEX(Units!$B$5:$B$54,$X55)="","",INDEX(Units!$B$5:$B$54,$X55)),""))</f>
        <v/>
      </c>
      <c r="F55" s="18" t="str">
        <f>IF($W55="L",IF(INDEX(Leases!$C$5:$C$34,$X55)="","",INDEX(Leases!$C$5:$C$34,$X55)),IF($W55="V",IF(INDEX(Units!$H$5:$H$54,$X55)="","",INDEX(Units!$H$5:$H$54,$X55)),""))</f>
        <v/>
      </c>
      <c r="G55" s="18" t="str">
        <f>IF($W55="L",IF(INDEX(Leases!$D$5:$D$34,$X55)="","No end date",INDEX(Leases!$D$5:$D$34,$X55)),IF($W55="V","",""))</f>
        <v/>
      </c>
      <c r="H55" s="18" t="str">
        <f>IF($W55="L",IF(INDEX(Leases!$E$5:$E$34,$X55)="","",INDEX(Leases!$E$5:$E$34,$X55)),IF($W55="V","",""))</f>
        <v/>
      </c>
      <c r="I55" s="19" t="str">
        <f>IF($W55="L",IF(INDEX(Leases!$X$5:$X$34,$X55)="","",INDEX(Leases!$X$5:$X$34,$X55)),IF($W55="V","",""))</f>
        <v/>
      </c>
      <c r="J55" s="19" t="str">
        <f>IF($W55="L",IF(INDEX(Leases!$Z$5:$Z$34,$X55)="","",INDEX(Leases!$Z$5:$Z$34,$X55)),IF($W55="V","",""))</f>
        <v/>
      </c>
      <c r="K55" s="19" t="str">
        <f>IF($W55="L",IF(INDEX(Leases!$Y$5:$Y$34,$X55)="","",INDEX(Leases!$Y$5:$Y$34,$X55)),IF($W55="V","",""))</f>
        <v/>
      </c>
      <c r="L55" s="19" t="str">
        <f>IF($W55="L",IF(INDEX(Leases!$M$5:$M$34,$X55)="","",INDEX(Leases!$M$5:$M$34,$X55)),IF($W55="V","",""))</f>
        <v/>
      </c>
      <c r="M55" s="18" t="str">
        <f>IF($W55="L",IF(INDEX(Leases!$AA$5:$AA$34,$X55)="","",INDEX(Leases!$AA$5:$AA$34,$X55)),IF($W55="V","",""))</f>
        <v/>
      </c>
      <c r="N55" s="19" t="str">
        <f>IF($W55="L",IF(INDEX(Leases!$AB$5:$AB$34,$X55)="","",INDEX(Leases!$AB$5:$AB$34,$X55)),IF($W55="V","",""))</f>
        <v/>
      </c>
      <c r="O55" s="20" t="str">
        <f>IF($W55="L",IF(INDEX(Leases!$AD$5:$AD$34,$X55)=1,INDEX(Leases!$J$5:$J$34,$X55),""),IF($W55="V","",""))</f>
        <v/>
      </c>
      <c r="P55" s="18" t="str">
        <f>IF($W55="L",IF(INDEX(Leases!$AD$5:$AD$34,$X55)=1,INDEX(Leases!$L$5:$L$34,$X55),""),IF($W55="V","",""))</f>
        <v/>
      </c>
      <c r="Q55" s="19" t="str">
        <f>IF($W55="L",INDEX(Leases!$AE$5:$AE$34,$X55),IF($W55="V","",""))</f>
        <v/>
      </c>
      <c r="R55" s="19" t="str">
        <f>IF($W55="L",INDEX(Leases!$AF$5:$AF$34,$X55),IF($W55="V","",""))</f>
        <v/>
      </c>
      <c r="S55" s="19" t="str">
        <f>IF($W55="L",IF(INDEX(Leases!$AH$5:$AH$34,$X55)="","",INDEX(Leases!$AH$5:$AH$34,$X55)),IF($W55="V","",""))</f>
        <v/>
      </c>
      <c r="T55" s="16" t="str">
        <f>IF($W55="L",TRIM(IF(INDEX(Leases!$AJ$5:$AJ$34,$X55)=1,"Awaiting index: not in rent totals. ","")&amp;IF(INDEX(Leases!$AC$5:$AC$34,$X55)=1,"Rent not started. ","")&amp;IF(INDEX(Leases!$AD$5:$AD$34,$X55)=1,"Abated on the date. ","")&amp;IF(INDEX(Leases!$AG$5:$AG$34,$X55)=1,"Letter of credit expired. ","")),IF($W55="V",IF(INDEX(Units!$H$5:$H$54,$X55)&lt;&gt;"","Vacant. A signed lease starts on the Lease start date.","Vacant."),""))</f>
        <v/>
      </c>
      <c r="U55" s="16" t="str">
        <f>IF($W55="L",IF(INDEX(Leases!$R$5:$R$34,$X55)="","",INDEX(Leases!$R$5:$R$34,$X55)),IF($W55="V",IF(INDEX(Units!$D$5:$D$54,$X55)="","",INDEX(Units!$D$5:$D$54,$X55)),""))</f>
        <v/>
      </c>
      <c r="W55" s="15" t="str">
        <f>IF((ROW()-ROW($A$9))&lt;=$W$7,"L",IF((ROW()-ROW($A$9))&lt;=$W$7+$X$7,"V",""))</f>
        <v/>
      </c>
      <c r="X55" s="15" t="str">
        <f>IF(W55="L",MATCH((ROW()-ROW($A$9)),Leases!$AQ$5:$AQ$34,0),IF(W55="V",MATCH((ROW()-ROW($A$9))-$W$7,Units!$J$5:$J$54,0),""))</f>
        <v/>
      </c>
      <c r="Y55" s="15">
        <f>IF(W55="L",INDEX(Leases!$AI$5:$AI$34,$X55),0)</f>
        <v>0</v>
      </c>
    </row>
    <row r="56">
      <c r="A56" s="15" t="str">
        <f>IF($W56="","",(ROW()-ROW($A$9)))</f>
        <v/>
      </c>
      <c r="B56" s="16" t="str">
        <f>IF($W56="L",IF(INDEX(Leases!$A$5:$A$34,$X56)="","",INDEX(Leases!$A$5:$A$34,$X56)),IF($W56="V","Vacant",""))</f>
        <v/>
      </c>
      <c r="C56" s="16" t="str">
        <f>IF($W56="L",IF(INDEX(Leases!$V$5:$V$34,$X56)="","",INDEX(Leases!$V$5:$V$34,$X56)),IF($W56="V",IF(INDEX(Units!$A$5:$A$54,$X56)="","",INDEX(Units!$A$5:$A$54,$X56)),""))</f>
        <v/>
      </c>
      <c r="D56" s="16" t="str">
        <f>IF($W56="L",IF(INDEX(Leases!$B$5:$B$34,$X56)="","",INDEX(Leases!$B$5:$B$34,$X56)),IF($W56="V","",""))</f>
        <v/>
      </c>
      <c r="E56" s="17" t="str">
        <f>IF($W56="L",INDEX(Leases!$W$5:$W$34,$X56),IF($W56="V",IF(INDEX(Units!$B$5:$B$54,$X56)="","",INDEX(Units!$B$5:$B$54,$X56)),""))</f>
        <v/>
      </c>
      <c r="F56" s="18" t="str">
        <f>IF($W56="L",IF(INDEX(Leases!$C$5:$C$34,$X56)="","",INDEX(Leases!$C$5:$C$34,$X56)),IF($W56="V",IF(INDEX(Units!$H$5:$H$54,$X56)="","",INDEX(Units!$H$5:$H$54,$X56)),""))</f>
        <v/>
      </c>
      <c r="G56" s="18" t="str">
        <f>IF($W56="L",IF(INDEX(Leases!$D$5:$D$34,$X56)="","No end date",INDEX(Leases!$D$5:$D$34,$X56)),IF($W56="V","",""))</f>
        <v/>
      </c>
      <c r="H56" s="18" t="str">
        <f>IF($W56="L",IF(INDEX(Leases!$E$5:$E$34,$X56)="","",INDEX(Leases!$E$5:$E$34,$X56)),IF($W56="V","",""))</f>
        <v/>
      </c>
      <c r="I56" s="19" t="str">
        <f>IF($W56="L",IF(INDEX(Leases!$X$5:$X$34,$X56)="","",INDEX(Leases!$X$5:$X$34,$X56)),IF($W56="V","",""))</f>
        <v/>
      </c>
      <c r="J56" s="19" t="str">
        <f>IF($W56="L",IF(INDEX(Leases!$Z$5:$Z$34,$X56)="","",INDEX(Leases!$Z$5:$Z$34,$X56)),IF($W56="V","",""))</f>
        <v/>
      </c>
      <c r="K56" s="19" t="str">
        <f>IF($W56="L",IF(INDEX(Leases!$Y$5:$Y$34,$X56)="","",INDEX(Leases!$Y$5:$Y$34,$X56)),IF($W56="V","",""))</f>
        <v/>
      </c>
      <c r="L56" s="19" t="str">
        <f>IF($W56="L",IF(INDEX(Leases!$M$5:$M$34,$X56)="","",INDEX(Leases!$M$5:$M$34,$X56)),IF($W56="V","",""))</f>
        <v/>
      </c>
      <c r="M56" s="18" t="str">
        <f>IF($W56="L",IF(INDEX(Leases!$AA$5:$AA$34,$X56)="","",INDEX(Leases!$AA$5:$AA$34,$X56)),IF($W56="V","",""))</f>
        <v/>
      </c>
      <c r="N56" s="19" t="str">
        <f>IF($W56="L",IF(INDEX(Leases!$AB$5:$AB$34,$X56)="","",INDEX(Leases!$AB$5:$AB$34,$X56)),IF($W56="V","",""))</f>
        <v/>
      </c>
      <c r="O56" s="20" t="str">
        <f>IF($W56="L",IF(INDEX(Leases!$AD$5:$AD$34,$X56)=1,INDEX(Leases!$J$5:$J$34,$X56),""),IF($W56="V","",""))</f>
        <v/>
      </c>
      <c r="P56" s="18" t="str">
        <f>IF($W56="L",IF(INDEX(Leases!$AD$5:$AD$34,$X56)=1,INDEX(Leases!$L$5:$L$34,$X56),""),IF($W56="V","",""))</f>
        <v/>
      </c>
      <c r="Q56" s="19" t="str">
        <f>IF($W56="L",INDEX(Leases!$AE$5:$AE$34,$X56),IF($W56="V","",""))</f>
        <v/>
      </c>
      <c r="R56" s="19" t="str">
        <f>IF($W56="L",INDEX(Leases!$AF$5:$AF$34,$X56),IF($W56="V","",""))</f>
        <v/>
      </c>
      <c r="S56" s="19" t="str">
        <f>IF($W56="L",IF(INDEX(Leases!$AH$5:$AH$34,$X56)="","",INDEX(Leases!$AH$5:$AH$34,$X56)),IF($W56="V","",""))</f>
        <v/>
      </c>
      <c r="T56" s="16" t="str">
        <f>IF($W56="L",TRIM(IF(INDEX(Leases!$AJ$5:$AJ$34,$X56)=1,"Awaiting index: not in rent totals. ","")&amp;IF(INDEX(Leases!$AC$5:$AC$34,$X56)=1,"Rent not started. ","")&amp;IF(INDEX(Leases!$AD$5:$AD$34,$X56)=1,"Abated on the date. ","")&amp;IF(INDEX(Leases!$AG$5:$AG$34,$X56)=1,"Letter of credit expired. ","")),IF($W56="V",IF(INDEX(Units!$H$5:$H$54,$X56)&lt;&gt;"","Vacant. A signed lease starts on the Lease start date.","Vacant."),""))</f>
        <v/>
      </c>
      <c r="U56" s="16" t="str">
        <f>IF($W56="L",IF(INDEX(Leases!$R$5:$R$34,$X56)="","",INDEX(Leases!$R$5:$R$34,$X56)),IF($W56="V",IF(INDEX(Units!$D$5:$D$54,$X56)="","",INDEX(Units!$D$5:$D$54,$X56)),""))</f>
        <v/>
      </c>
      <c r="W56" s="15" t="str">
        <f>IF((ROW()-ROW($A$9))&lt;=$W$7,"L",IF((ROW()-ROW($A$9))&lt;=$W$7+$X$7,"V",""))</f>
        <v/>
      </c>
      <c r="X56" s="15" t="str">
        <f>IF(W56="L",MATCH((ROW()-ROW($A$9)),Leases!$AQ$5:$AQ$34,0),IF(W56="V",MATCH((ROW()-ROW($A$9))-$W$7,Units!$J$5:$J$54,0),""))</f>
        <v/>
      </c>
      <c r="Y56" s="15">
        <f>IF(W56="L",INDEX(Leases!$AI$5:$AI$34,$X56),0)</f>
        <v>0</v>
      </c>
    </row>
    <row r="57">
      <c r="A57" s="15" t="str">
        <f>IF($W57="","",(ROW()-ROW($A$9)))</f>
        <v/>
      </c>
      <c r="B57" s="16" t="str">
        <f>IF($W57="L",IF(INDEX(Leases!$A$5:$A$34,$X57)="","",INDEX(Leases!$A$5:$A$34,$X57)),IF($W57="V","Vacant",""))</f>
        <v/>
      </c>
      <c r="C57" s="16" t="str">
        <f>IF($W57="L",IF(INDEX(Leases!$V$5:$V$34,$X57)="","",INDEX(Leases!$V$5:$V$34,$X57)),IF($W57="V",IF(INDEX(Units!$A$5:$A$54,$X57)="","",INDEX(Units!$A$5:$A$54,$X57)),""))</f>
        <v/>
      </c>
      <c r="D57" s="16" t="str">
        <f>IF($W57="L",IF(INDEX(Leases!$B$5:$B$34,$X57)="","",INDEX(Leases!$B$5:$B$34,$X57)),IF($W57="V","",""))</f>
        <v/>
      </c>
      <c r="E57" s="17" t="str">
        <f>IF($W57="L",INDEX(Leases!$W$5:$W$34,$X57),IF($W57="V",IF(INDEX(Units!$B$5:$B$54,$X57)="","",INDEX(Units!$B$5:$B$54,$X57)),""))</f>
        <v/>
      </c>
      <c r="F57" s="18" t="str">
        <f>IF($W57="L",IF(INDEX(Leases!$C$5:$C$34,$X57)="","",INDEX(Leases!$C$5:$C$34,$X57)),IF($W57="V",IF(INDEX(Units!$H$5:$H$54,$X57)="","",INDEX(Units!$H$5:$H$54,$X57)),""))</f>
        <v/>
      </c>
      <c r="G57" s="18" t="str">
        <f>IF($W57="L",IF(INDEX(Leases!$D$5:$D$34,$X57)="","No end date",INDEX(Leases!$D$5:$D$34,$X57)),IF($W57="V","",""))</f>
        <v/>
      </c>
      <c r="H57" s="18" t="str">
        <f>IF($W57="L",IF(INDEX(Leases!$E$5:$E$34,$X57)="","",INDEX(Leases!$E$5:$E$34,$X57)),IF($W57="V","",""))</f>
        <v/>
      </c>
      <c r="I57" s="19" t="str">
        <f>IF($W57="L",IF(INDEX(Leases!$X$5:$X$34,$X57)="","",INDEX(Leases!$X$5:$X$34,$X57)),IF($W57="V","",""))</f>
        <v/>
      </c>
      <c r="J57" s="19" t="str">
        <f>IF($W57="L",IF(INDEX(Leases!$Z$5:$Z$34,$X57)="","",INDEX(Leases!$Z$5:$Z$34,$X57)),IF($W57="V","",""))</f>
        <v/>
      </c>
      <c r="K57" s="19" t="str">
        <f>IF($W57="L",IF(INDEX(Leases!$Y$5:$Y$34,$X57)="","",INDEX(Leases!$Y$5:$Y$34,$X57)),IF($W57="V","",""))</f>
        <v/>
      </c>
      <c r="L57" s="19" t="str">
        <f>IF($W57="L",IF(INDEX(Leases!$M$5:$M$34,$X57)="","",INDEX(Leases!$M$5:$M$34,$X57)),IF($W57="V","",""))</f>
        <v/>
      </c>
      <c r="M57" s="18" t="str">
        <f>IF($W57="L",IF(INDEX(Leases!$AA$5:$AA$34,$X57)="","",INDEX(Leases!$AA$5:$AA$34,$X57)),IF($W57="V","",""))</f>
        <v/>
      </c>
      <c r="N57" s="19" t="str">
        <f>IF($W57="L",IF(INDEX(Leases!$AB$5:$AB$34,$X57)="","",INDEX(Leases!$AB$5:$AB$34,$X57)),IF($W57="V","",""))</f>
        <v/>
      </c>
      <c r="O57" s="20" t="str">
        <f>IF($W57="L",IF(INDEX(Leases!$AD$5:$AD$34,$X57)=1,INDEX(Leases!$J$5:$J$34,$X57),""),IF($W57="V","",""))</f>
        <v/>
      </c>
      <c r="P57" s="18" t="str">
        <f>IF($W57="L",IF(INDEX(Leases!$AD$5:$AD$34,$X57)=1,INDEX(Leases!$L$5:$L$34,$X57),""),IF($W57="V","",""))</f>
        <v/>
      </c>
      <c r="Q57" s="19" t="str">
        <f>IF($W57="L",INDEX(Leases!$AE$5:$AE$34,$X57),IF($W57="V","",""))</f>
        <v/>
      </c>
      <c r="R57" s="19" t="str">
        <f>IF($W57="L",INDEX(Leases!$AF$5:$AF$34,$X57),IF($W57="V","",""))</f>
        <v/>
      </c>
      <c r="S57" s="19" t="str">
        <f>IF($W57="L",IF(INDEX(Leases!$AH$5:$AH$34,$X57)="","",INDEX(Leases!$AH$5:$AH$34,$X57)),IF($W57="V","",""))</f>
        <v/>
      </c>
      <c r="T57" s="16" t="str">
        <f>IF($W57="L",TRIM(IF(INDEX(Leases!$AJ$5:$AJ$34,$X57)=1,"Awaiting index: not in rent totals. ","")&amp;IF(INDEX(Leases!$AC$5:$AC$34,$X57)=1,"Rent not started. ","")&amp;IF(INDEX(Leases!$AD$5:$AD$34,$X57)=1,"Abated on the date. ","")&amp;IF(INDEX(Leases!$AG$5:$AG$34,$X57)=1,"Letter of credit expired. ","")),IF($W57="V",IF(INDEX(Units!$H$5:$H$54,$X57)&lt;&gt;"","Vacant. A signed lease starts on the Lease start date.","Vacant."),""))</f>
        <v/>
      </c>
      <c r="U57" s="16" t="str">
        <f>IF($W57="L",IF(INDEX(Leases!$R$5:$R$34,$X57)="","",INDEX(Leases!$R$5:$R$34,$X57)),IF($W57="V",IF(INDEX(Units!$D$5:$D$54,$X57)="","",INDEX(Units!$D$5:$D$54,$X57)),""))</f>
        <v/>
      </c>
      <c r="W57" s="15" t="str">
        <f>IF((ROW()-ROW($A$9))&lt;=$W$7,"L",IF((ROW()-ROW($A$9))&lt;=$W$7+$X$7,"V",""))</f>
        <v/>
      </c>
      <c r="X57" s="15" t="str">
        <f>IF(W57="L",MATCH((ROW()-ROW($A$9)),Leases!$AQ$5:$AQ$34,0),IF(W57="V",MATCH((ROW()-ROW($A$9))-$W$7,Units!$J$5:$J$54,0),""))</f>
        <v/>
      </c>
      <c r="Y57" s="15">
        <f>IF(W57="L",INDEX(Leases!$AI$5:$AI$34,$X57),0)</f>
        <v>0</v>
      </c>
    </row>
    <row r="58">
      <c r="A58" s="15" t="str">
        <f>IF($W58="","",(ROW()-ROW($A$9)))</f>
        <v/>
      </c>
      <c r="B58" s="16" t="str">
        <f>IF($W58="L",IF(INDEX(Leases!$A$5:$A$34,$X58)="","",INDEX(Leases!$A$5:$A$34,$X58)),IF($W58="V","Vacant",""))</f>
        <v/>
      </c>
      <c r="C58" s="16" t="str">
        <f>IF($W58="L",IF(INDEX(Leases!$V$5:$V$34,$X58)="","",INDEX(Leases!$V$5:$V$34,$X58)),IF($W58="V",IF(INDEX(Units!$A$5:$A$54,$X58)="","",INDEX(Units!$A$5:$A$54,$X58)),""))</f>
        <v/>
      </c>
      <c r="D58" s="16" t="str">
        <f>IF($W58="L",IF(INDEX(Leases!$B$5:$B$34,$X58)="","",INDEX(Leases!$B$5:$B$34,$X58)),IF($W58="V","",""))</f>
        <v/>
      </c>
      <c r="E58" s="17" t="str">
        <f>IF($W58="L",INDEX(Leases!$W$5:$W$34,$X58),IF($W58="V",IF(INDEX(Units!$B$5:$B$54,$X58)="","",INDEX(Units!$B$5:$B$54,$X58)),""))</f>
        <v/>
      </c>
      <c r="F58" s="18" t="str">
        <f>IF($W58="L",IF(INDEX(Leases!$C$5:$C$34,$X58)="","",INDEX(Leases!$C$5:$C$34,$X58)),IF($W58="V",IF(INDEX(Units!$H$5:$H$54,$X58)="","",INDEX(Units!$H$5:$H$54,$X58)),""))</f>
        <v/>
      </c>
      <c r="G58" s="18" t="str">
        <f>IF($W58="L",IF(INDEX(Leases!$D$5:$D$34,$X58)="","No end date",INDEX(Leases!$D$5:$D$34,$X58)),IF($W58="V","",""))</f>
        <v/>
      </c>
      <c r="H58" s="18" t="str">
        <f>IF($W58="L",IF(INDEX(Leases!$E$5:$E$34,$X58)="","",INDEX(Leases!$E$5:$E$34,$X58)),IF($W58="V","",""))</f>
        <v/>
      </c>
      <c r="I58" s="19" t="str">
        <f>IF($W58="L",IF(INDEX(Leases!$X$5:$X$34,$X58)="","",INDEX(Leases!$X$5:$X$34,$X58)),IF($W58="V","",""))</f>
        <v/>
      </c>
      <c r="J58" s="19" t="str">
        <f>IF($W58="L",IF(INDEX(Leases!$Z$5:$Z$34,$X58)="","",INDEX(Leases!$Z$5:$Z$34,$X58)),IF($W58="V","",""))</f>
        <v/>
      </c>
      <c r="K58" s="19" t="str">
        <f>IF($W58="L",IF(INDEX(Leases!$Y$5:$Y$34,$X58)="","",INDEX(Leases!$Y$5:$Y$34,$X58)),IF($W58="V","",""))</f>
        <v/>
      </c>
      <c r="L58" s="19" t="str">
        <f>IF($W58="L",IF(INDEX(Leases!$M$5:$M$34,$X58)="","",INDEX(Leases!$M$5:$M$34,$X58)),IF($W58="V","",""))</f>
        <v/>
      </c>
      <c r="M58" s="18" t="str">
        <f>IF($W58="L",IF(INDEX(Leases!$AA$5:$AA$34,$X58)="","",INDEX(Leases!$AA$5:$AA$34,$X58)),IF($W58="V","",""))</f>
        <v/>
      </c>
      <c r="N58" s="19" t="str">
        <f>IF($W58="L",IF(INDEX(Leases!$AB$5:$AB$34,$X58)="","",INDEX(Leases!$AB$5:$AB$34,$X58)),IF($W58="V","",""))</f>
        <v/>
      </c>
      <c r="O58" s="20" t="str">
        <f>IF($W58="L",IF(INDEX(Leases!$AD$5:$AD$34,$X58)=1,INDEX(Leases!$J$5:$J$34,$X58),""),IF($W58="V","",""))</f>
        <v/>
      </c>
      <c r="P58" s="18" t="str">
        <f>IF($W58="L",IF(INDEX(Leases!$AD$5:$AD$34,$X58)=1,INDEX(Leases!$L$5:$L$34,$X58),""),IF($W58="V","",""))</f>
        <v/>
      </c>
      <c r="Q58" s="19" t="str">
        <f>IF($W58="L",INDEX(Leases!$AE$5:$AE$34,$X58),IF($W58="V","",""))</f>
        <v/>
      </c>
      <c r="R58" s="19" t="str">
        <f>IF($W58="L",INDEX(Leases!$AF$5:$AF$34,$X58),IF($W58="V","",""))</f>
        <v/>
      </c>
      <c r="S58" s="19" t="str">
        <f>IF($W58="L",IF(INDEX(Leases!$AH$5:$AH$34,$X58)="","",INDEX(Leases!$AH$5:$AH$34,$X58)),IF($W58="V","",""))</f>
        <v/>
      </c>
      <c r="T58" s="16" t="str">
        <f>IF($W58="L",TRIM(IF(INDEX(Leases!$AJ$5:$AJ$34,$X58)=1,"Awaiting index: not in rent totals. ","")&amp;IF(INDEX(Leases!$AC$5:$AC$34,$X58)=1,"Rent not started. ","")&amp;IF(INDEX(Leases!$AD$5:$AD$34,$X58)=1,"Abated on the date. ","")&amp;IF(INDEX(Leases!$AG$5:$AG$34,$X58)=1,"Letter of credit expired. ","")),IF($W58="V",IF(INDEX(Units!$H$5:$H$54,$X58)&lt;&gt;"","Vacant. A signed lease starts on the Lease start date.","Vacant."),""))</f>
        <v/>
      </c>
      <c r="U58" s="16" t="str">
        <f>IF($W58="L",IF(INDEX(Leases!$R$5:$R$34,$X58)="","",INDEX(Leases!$R$5:$R$34,$X58)),IF($W58="V",IF(INDEX(Units!$D$5:$D$54,$X58)="","",INDEX(Units!$D$5:$D$54,$X58)),""))</f>
        <v/>
      </c>
      <c r="W58" s="15" t="str">
        <f>IF((ROW()-ROW($A$9))&lt;=$W$7,"L",IF((ROW()-ROW($A$9))&lt;=$W$7+$X$7,"V",""))</f>
        <v/>
      </c>
      <c r="X58" s="15" t="str">
        <f>IF(W58="L",MATCH((ROW()-ROW($A$9)),Leases!$AQ$5:$AQ$34,0),IF(W58="V",MATCH((ROW()-ROW($A$9))-$W$7,Units!$J$5:$J$54,0),""))</f>
        <v/>
      </c>
      <c r="Y58" s="15">
        <f>IF(W58="L",INDEX(Leases!$AI$5:$AI$34,$X58),0)</f>
        <v>0</v>
      </c>
    </row>
    <row r="59">
      <c r="A59" s="15" t="str">
        <f>IF($W59="","",(ROW()-ROW($A$9)))</f>
        <v/>
      </c>
      <c r="B59" s="16" t="str">
        <f>IF($W59="L",IF(INDEX(Leases!$A$5:$A$34,$X59)="","",INDEX(Leases!$A$5:$A$34,$X59)),IF($W59="V","Vacant",""))</f>
        <v/>
      </c>
      <c r="C59" s="16" t="str">
        <f>IF($W59="L",IF(INDEX(Leases!$V$5:$V$34,$X59)="","",INDEX(Leases!$V$5:$V$34,$X59)),IF($W59="V",IF(INDEX(Units!$A$5:$A$54,$X59)="","",INDEX(Units!$A$5:$A$54,$X59)),""))</f>
        <v/>
      </c>
      <c r="D59" s="16" t="str">
        <f>IF($W59="L",IF(INDEX(Leases!$B$5:$B$34,$X59)="","",INDEX(Leases!$B$5:$B$34,$X59)),IF($W59="V","",""))</f>
        <v/>
      </c>
      <c r="E59" s="17" t="str">
        <f>IF($W59="L",INDEX(Leases!$W$5:$W$34,$X59),IF($W59="V",IF(INDEX(Units!$B$5:$B$54,$X59)="","",INDEX(Units!$B$5:$B$54,$X59)),""))</f>
        <v/>
      </c>
      <c r="F59" s="18" t="str">
        <f>IF($W59="L",IF(INDEX(Leases!$C$5:$C$34,$X59)="","",INDEX(Leases!$C$5:$C$34,$X59)),IF($W59="V",IF(INDEX(Units!$H$5:$H$54,$X59)="","",INDEX(Units!$H$5:$H$54,$X59)),""))</f>
        <v/>
      </c>
      <c r="G59" s="18" t="str">
        <f>IF($W59="L",IF(INDEX(Leases!$D$5:$D$34,$X59)="","No end date",INDEX(Leases!$D$5:$D$34,$X59)),IF($W59="V","",""))</f>
        <v/>
      </c>
      <c r="H59" s="18" t="str">
        <f>IF($W59="L",IF(INDEX(Leases!$E$5:$E$34,$X59)="","",INDEX(Leases!$E$5:$E$34,$X59)),IF($W59="V","",""))</f>
        <v/>
      </c>
      <c r="I59" s="19" t="str">
        <f>IF($W59="L",IF(INDEX(Leases!$X$5:$X$34,$X59)="","",INDEX(Leases!$X$5:$X$34,$X59)),IF($W59="V","",""))</f>
        <v/>
      </c>
      <c r="J59" s="19" t="str">
        <f>IF($W59="L",IF(INDEX(Leases!$Z$5:$Z$34,$X59)="","",INDEX(Leases!$Z$5:$Z$34,$X59)),IF($W59="V","",""))</f>
        <v/>
      </c>
      <c r="K59" s="19" t="str">
        <f>IF($W59="L",IF(INDEX(Leases!$Y$5:$Y$34,$X59)="","",INDEX(Leases!$Y$5:$Y$34,$X59)),IF($W59="V","",""))</f>
        <v/>
      </c>
      <c r="L59" s="19" t="str">
        <f>IF($W59="L",IF(INDEX(Leases!$M$5:$M$34,$X59)="","",INDEX(Leases!$M$5:$M$34,$X59)),IF($W59="V","",""))</f>
        <v/>
      </c>
      <c r="M59" s="18" t="str">
        <f>IF($W59="L",IF(INDEX(Leases!$AA$5:$AA$34,$X59)="","",INDEX(Leases!$AA$5:$AA$34,$X59)),IF($W59="V","",""))</f>
        <v/>
      </c>
      <c r="N59" s="19" t="str">
        <f>IF($W59="L",IF(INDEX(Leases!$AB$5:$AB$34,$X59)="","",INDEX(Leases!$AB$5:$AB$34,$X59)),IF($W59="V","",""))</f>
        <v/>
      </c>
      <c r="O59" s="20" t="str">
        <f>IF($W59="L",IF(INDEX(Leases!$AD$5:$AD$34,$X59)=1,INDEX(Leases!$J$5:$J$34,$X59),""),IF($W59="V","",""))</f>
        <v/>
      </c>
      <c r="P59" s="18" t="str">
        <f>IF($W59="L",IF(INDEX(Leases!$AD$5:$AD$34,$X59)=1,INDEX(Leases!$L$5:$L$34,$X59),""),IF($W59="V","",""))</f>
        <v/>
      </c>
      <c r="Q59" s="19" t="str">
        <f>IF($W59="L",INDEX(Leases!$AE$5:$AE$34,$X59),IF($W59="V","",""))</f>
        <v/>
      </c>
      <c r="R59" s="19" t="str">
        <f>IF($W59="L",INDEX(Leases!$AF$5:$AF$34,$X59),IF($W59="V","",""))</f>
        <v/>
      </c>
      <c r="S59" s="19" t="str">
        <f>IF($W59="L",IF(INDEX(Leases!$AH$5:$AH$34,$X59)="","",INDEX(Leases!$AH$5:$AH$34,$X59)),IF($W59="V","",""))</f>
        <v/>
      </c>
      <c r="T59" s="16" t="str">
        <f>IF($W59="L",TRIM(IF(INDEX(Leases!$AJ$5:$AJ$34,$X59)=1,"Awaiting index: not in rent totals. ","")&amp;IF(INDEX(Leases!$AC$5:$AC$34,$X59)=1,"Rent not started. ","")&amp;IF(INDEX(Leases!$AD$5:$AD$34,$X59)=1,"Abated on the date. ","")&amp;IF(INDEX(Leases!$AG$5:$AG$34,$X59)=1,"Letter of credit expired. ","")),IF($W59="V",IF(INDEX(Units!$H$5:$H$54,$X59)&lt;&gt;"","Vacant. A signed lease starts on the Lease start date.","Vacant."),""))</f>
        <v/>
      </c>
      <c r="U59" s="16" t="str">
        <f>IF($W59="L",IF(INDEX(Leases!$R$5:$R$34,$X59)="","",INDEX(Leases!$R$5:$R$34,$X59)),IF($W59="V",IF(INDEX(Units!$D$5:$D$54,$X59)="","",INDEX(Units!$D$5:$D$54,$X59)),""))</f>
        <v/>
      </c>
      <c r="W59" s="15" t="str">
        <f>IF((ROW()-ROW($A$9))&lt;=$W$7,"L",IF((ROW()-ROW($A$9))&lt;=$W$7+$X$7,"V",""))</f>
        <v/>
      </c>
      <c r="X59" s="15" t="str">
        <f>IF(W59="L",MATCH((ROW()-ROW($A$9)),Leases!$AQ$5:$AQ$34,0),IF(W59="V",MATCH((ROW()-ROW($A$9))-$W$7,Units!$J$5:$J$54,0),""))</f>
        <v/>
      </c>
      <c r="Y59" s="15">
        <f>IF(W59="L",INDEX(Leases!$AI$5:$AI$34,$X59),0)</f>
        <v>0</v>
      </c>
    </row>
    <row r="60">
      <c r="A60" s="15" t="str">
        <f>IF($W60="","",(ROW()-ROW($A$9)))</f>
        <v/>
      </c>
      <c r="B60" s="16" t="str">
        <f>IF($W60="L",IF(INDEX(Leases!$A$5:$A$34,$X60)="","",INDEX(Leases!$A$5:$A$34,$X60)),IF($W60="V","Vacant",""))</f>
        <v/>
      </c>
      <c r="C60" s="16" t="str">
        <f>IF($W60="L",IF(INDEX(Leases!$V$5:$V$34,$X60)="","",INDEX(Leases!$V$5:$V$34,$X60)),IF($W60="V",IF(INDEX(Units!$A$5:$A$54,$X60)="","",INDEX(Units!$A$5:$A$54,$X60)),""))</f>
        <v/>
      </c>
      <c r="D60" s="16" t="str">
        <f>IF($W60="L",IF(INDEX(Leases!$B$5:$B$34,$X60)="","",INDEX(Leases!$B$5:$B$34,$X60)),IF($W60="V","",""))</f>
        <v/>
      </c>
      <c r="E60" s="17" t="str">
        <f>IF($W60="L",INDEX(Leases!$W$5:$W$34,$X60),IF($W60="V",IF(INDEX(Units!$B$5:$B$54,$X60)="","",INDEX(Units!$B$5:$B$54,$X60)),""))</f>
        <v/>
      </c>
      <c r="F60" s="18" t="str">
        <f>IF($W60="L",IF(INDEX(Leases!$C$5:$C$34,$X60)="","",INDEX(Leases!$C$5:$C$34,$X60)),IF($W60="V",IF(INDEX(Units!$H$5:$H$54,$X60)="","",INDEX(Units!$H$5:$H$54,$X60)),""))</f>
        <v/>
      </c>
      <c r="G60" s="18" t="str">
        <f>IF($W60="L",IF(INDEX(Leases!$D$5:$D$34,$X60)="","No end date",INDEX(Leases!$D$5:$D$34,$X60)),IF($W60="V","",""))</f>
        <v/>
      </c>
      <c r="H60" s="18" t="str">
        <f>IF($W60="L",IF(INDEX(Leases!$E$5:$E$34,$X60)="","",INDEX(Leases!$E$5:$E$34,$X60)),IF($W60="V","",""))</f>
        <v/>
      </c>
      <c r="I60" s="19" t="str">
        <f>IF($W60="L",IF(INDEX(Leases!$X$5:$X$34,$X60)="","",INDEX(Leases!$X$5:$X$34,$X60)),IF($W60="V","",""))</f>
        <v/>
      </c>
      <c r="J60" s="19" t="str">
        <f>IF($W60="L",IF(INDEX(Leases!$Z$5:$Z$34,$X60)="","",INDEX(Leases!$Z$5:$Z$34,$X60)),IF($W60="V","",""))</f>
        <v/>
      </c>
      <c r="K60" s="19" t="str">
        <f>IF($W60="L",IF(INDEX(Leases!$Y$5:$Y$34,$X60)="","",INDEX(Leases!$Y$5:$Y$34,$X60)),IF($W60="V","",""))</f>
        <v/>
      </c>
      <c r="L60" s="19" t="str">
        <f>IF($W60="L",IF(INDEX(Leases!$M$5:$M$34,$X60)="","",INDEX(Leases!$M$5:$M$34,$X60)),IF($W60="V","",""))</f>
        <v/>
      </c>
      <c r="M60" s="18" t="str">
        <f>IF($W60="L",IF(INDEX(Leases!$AA$5:$AA$34,$X60)="","",INDEX(Leases!$AA$5:$AA$34,$X60)),IF($W60="V","",""))</f>
        <v/>
      </c>
      <c r="N60" s="19" t="str">
        <f>IF($W60="L",IF(INDEX(Leases!$AB$5:$AB$34,$X60)="","",INDEX(Leases!$AB$5:$AB$34,$X60)),IF($W60="V","",""))</f>
        <v/>
      </c>
      <c r="O60" s="20" t="str">
        <f>IF($W60="L",IF(INDEX(Leases!$AD$5:$AD$34,$X60)=1,INDEX(Leases!$J$5:$J$34,$X60),""),IF($W60="V","",""))</f>
        <v/>
      </c>
      <c r="P60" s="18" t="str">
        <f>IF($W60="L",IF(INDEX(Leases!$AD$5:$AD$34,$X60)=1,INDEX(Leases!$L$5:$L$34,$X60),""),IF($W60="V","",""))</f>
        <v/>
      </c>
      <c r="Q60" s="19" t="str">
        <f>IF($W60="L",INDEX(Leases!$AE$5:$AE$34,$X60),IF($W60="V","",""))</f>
        <v/>
      </c>
      <c r="R60" s="19" t="str">
        <f>IF($W60="L",INDEX(Leases!$AF$5:$AF$34,$X60),IF($W60="V","",""))</f>
        <v/>
      </c>
      <c r="S60" s="19" t="str">
        <f>IF($W60="L",IF(INDEX(Leases!$AH$5:$AH$34,$X60)="","",INDEX(Leases!$AH$5:$AH$34,$X60)),IF($W60="V","",""))</f>
        <v/>
      </c>
      <c r="T60" s="16" t="str">
        <f>IF($W60="L",TRIM(IF(INDEX(Leases!$AJ$5:$AJ$34,$X60)=1,"Awaiting index: not in rent totals. ","")&amp;IF(INDEX(Leases!$AC$5:$AC$34,$X60)=1,"Rent not started. ","")&amp;IF(INDEX(Leases!$AD$5:$AD$34,$X60)=1,"Abated on the date. ","")&amp;IF(INDEX(Leases!$AG$5:$AG$34,$X60)=1,"Letter of credit expired. ","")),IF($W60="V",IF(INDEX(Units!$H$5:$H$54,$X60)&lt;&gt;"","Vacant. A signed lease starts on the Lease start date.","Vacant."),""))</f>
        <v/>
      </c>
      <c r="U60" s="16" t="str">
        <f>IF($W60="L",IF(INDEX(Leases!$R$5:$R$34,$X60)="","",INDEX(Leases!$R$5:$R$34,$X60)),IF($W60="V",IF(INDEX(Units!$D$5:$D$54,$X60)="","",INDEX(Units!$D$5:$D$54,$X60)),""))</f>
        <v/>
      </c>
      <c r="W60" s="15" t="str">
        <f>IF((ROW()-ROW($A$9))&lt;=$W$7,"L",IF((ROW()-ROW($A$9))&lt;=$W$7+$X$7,"V",""))</f>
        <v/>
      </c>
      <c r="X60" s="15" t="str">
        <f>IF(W60="L",MATCH((ROW()-ROW($A$9)),Leases!$AQ$5:$AQ$34,0),IF(W60="V",MATCH((ROW()-ROW($A$9))-$W$7,Units!$J$5:$J$54,0),""))</f>
        <v/>
      </c>
      <c r="Y60" s="15">
        <f>IF(W60="L",INDEX(Leases!$AI$5:$AI$34,$X60),0)</f>
        <v>0</v>
      </c>
    </row>
    <row r="61">
      <c r="A61" s="15" t="str">
        <f>IF($W61="","",(ROW()-ROW($A$9)))</f>
        <v/>
      </c>
      <c r="B61" s="16" t="str">
        <f>IF($W61="L",IF(INDEX(Leases!$A$5:$A$34,$X61)="","",INDEX(Leases!$A$5:$A$34,$X61)),IF($W61="V","Vacant",""))</f>
        <v/>
      </c>
      <c r="C61" s="16" t="str">
        <f>IF($W61="L",IF(INDEX(Leases!$V$5:$V$34,$X61)="","",INDEX(Leases!$V$5:$V$34,$X61)),IF($W61="V",IF(INDEX(Units!$A$5:$A$54,$X61)="","",INDEX(Units!$A$5:$A$54,$X61)),""))</f>
        <v/>
      </c>
      <c r="D61" s="16" t="str">
        <f>IF($W61="L",IF(INDEX(Leases!$B$5:$B$34,$X61)="","",INDEX(Leases!$B$5:$B$34,$X61)),IF($W61="V","",""))</f>
        <v/>
      </c>
      <c r="E61" s="17" t="str">
        <f>IF($W61="L",INDEX(Leases!$W$5:$W$34,$X61),IF($W61="V",IF(INDEX(Units!$B$5:$B$54,$X61)="","",INDEX(Units!$B$5:$B$54,$X61)),""))</f>
        <v/>
      </c>
      <c r="F61" s="18" t="str">
        <f>IF($W61="L",IF(INDEX(Leases!$C$5:$C$34,$X61)="","",INDEX(Leases!$C$5:$C$34,$X61)),IF($W61="V",IF(INDEX(Units!$H$5:$H$54,$X61)="","",INDEX(Units!$H$5:$H$54,$X61)),""))</f>
        <v/>
      </c>
      <c r="G61" s="18" t="str">
        <f>IF($W61="L",IF(INDEX(Leases!$D$5:$D$34,$X61)="","No end date",INDEX(Leases!$D$5:$D$34,$X61)),IF($W61="V","",""))</f>
        <v/>
      </c>
      <c r="H61" s="18" t="str">
        <f>IF($W61="L",IF(INDEX(Leases!$E$5:$E$34,$X61)="","",INDEX(Leases!$E$5:$E$34,$X61)),IF($W61="V","",""))</f>
        <v/>
      </c>
      <c r="I61" s="19" t="str">
        <f>IF($W61="L",IF(INDEX(Leases!$X$5:$X$34,$X61)="","",INDEX(Leases!$X$5:$X$34,$X61)),IF($W61="V","",""))</f>
        <v/>
      </c>
      <c r="J61" s="19" t="str">
        <f>IF($W61="L",IF(INDEX(Leases!$Z$5:$Z$34,$X61)="","",INDEX(Leases!$Z$5:$Z$34,$X61)),IF($W61="V","",""))</f>
        <v/>
      </c>
      <c r="K61" s="19" t="str">
        <f>IF($W61="L",IF(INDEX(Leases!$Y$5:$Y$34,$X61)="","",INDEX(Leases!$Y$5:$Y$34,$X61)),IF($W61="V","",""))</f>
        <v/>
      </c>
      <c r="L61" s="19" t="str">
        <f>IF($W61="L",IF(INDEX(Leases!$M$5:$M$34,$X61)="","",INDEX(Leases!$M$5:$M$34,$X61)),IF($W61="V","",""))</f>
        <v/>
      </c>
      <c r="M61" s="18" t="str">
        <f>IF($W61="L",IF(INDEX(Leases!$AA$5:$AA$34,$X61)="","",INDEX(Leases!$AA$5:$AA$34,$X61)),IF($W61="V","",""))</f>
        <v/>
      </c>
      <c r="N61" s="19" t="str">
        <f>IF($W61="L",IF(INDEX(Leases!$AB$5:$AB$34,$X61)="","",INDEX(Leases!$AB$5:$AB$34,$X61)),IF($W61="V","",""))</f>
        <v/>
      </c>
      <c r="O61" s="20" t="str">
        <f>IF($W61="L",IF(INDEX(Leases!$AD$5:$AD$34,$X61)=1,INDEX(Leases!$J$5:$J$34,$X61),""),IF($W61="V","",""))</f>
        <v/>
      </c>
      <c r="P61" s="18" t="str">
        <f>IF($W61="L",IF(INDEX(Leases!$AD$5:$AD$34,$X61)=1,INDEX(Leases!$L$5:$L$34,$X61),""),IF($W61="V","",""))</f>
        <v/>
      </c>
      <c r="Q61" s="19" t="str">
        <f>IF($W61="L",INDEX(Leases!$AE$5:$AE$34,$X61),IF($W61="V","",""))</f>
        <v/>
      </c>
      <c r="R61" s="19" t="str">
        <f>IF($W61="L",INDEX(Leases!$AF$5:$AF$34,$X61),IF($W61="V","",""))</f>
        <v/>
      </c>
      <c r="S61" s="19" t="str">
        <f>IF($W61="L",IF(INDEX(Leases!$AH$5:$AH$34,$X61)="","",INDEX(Leases!$AH$5:$AH$34,$X61)),IF($W61="V","",""))</f>
        <v/>
      </c>
      <c r="T61" s="16" t="str">
        <f>IF($W61="L",TRIM(IF(INDEX(Leases!$AJ$5:$AJ$34,$X61)=1,"Awaiting index: not in rent totals. ","")&amp;IF(INDEX(Leases!$AC$5:$AC$34,$X61)=1,"Rent not started. ","")&amp;IF(INDEX(Leases!$AD$5:$AD$34,$X61)=1,"Abated on the date. ","")&amp;IF(INDEX(Leases!$AG$5:$AG$34,$X61)=1,"Letter of credit expired. ","")),IF($W61="V",IF(INDEX(Units!$H$5:$H$54,$X61)&lt;&gt;"","Vacant. A signed lease starts on the Lease start date.","Vacant."),""))</f>
        <v/>
      </c>
      <c r="U61" s="16" t="str">
        <f>IF($W61="L",IF(INDEX(Leases!$R$5:$R$34,$X61)="","",INDEX(Leases!$R$5:$R$34,$X61)),IF($W61="V",IF(INDEX(Units!$D$5:$D$54,$X61)="","",INDEX(Units!$D$5:$D$54,$X61)),""))</f>
        <v/>
      </c>
      <c r="W61" s="15" t="str">
        <f>IF((ROW()-ROW($A$9))&lt;=$W$7,"L",IF((ROW()-ROW($A$9))&lt;=$W$7+$X$7,"V",""))</f>
        <v/>
      </c>
      <c r="X61" s="15" t="str">
        <f>IF(W61="L",MATCH((ROW()-ROW($A$9)),Leases!$AQ$5:$AQ$34,0),IF(W61="V",MATCH((ROW()-ROW($A$9))-$W$7,Units!$J$5:$J$54,0),""))</f>
        <v/>
      </c>
      <c r="Y61" s="15">
        <f>IF(W61="L",INDEX(Leases!$AI$5:$AI$34,$X61),0)</f>
        <v>0</v>
      </c>
    </row>
    <row r="62">
      <c r="A62" s="15" t="str">
        <f>IF($W62="","",(ROW()-ROW($A$9)))</f>
        <v/>
      </c>
      <c r="B62" s="16" t="str">
        <f>IF($W62="L",IF(INDEX(Leases!$A$5:$A$34,$X62)="","",INDEX(Leases!$A$5:$A$34,$X62)),IF($W62="V","Vacant",""))</f>
        <v/>
      </c>
      <c r="C62" s="16" t="str">
        <f>IF($W62="L",IF(INDEX(Leases!$V$5:$V$34,$X62)="","",INDEX(Leases!$V$5:$V$34,$X62)),IF($W62="V",IF(INDEX(Units!$A$5:$A$54,$X62)="","",INDEX(Units!$A$5:$A$54,$X62)),""))</f>
        <v/>
      </c>
      <c r="D62" s="16" t="str">
        <f>IF($W62="L",IF(INDEX(Leases!$B$5:$B$34,$X62)="","",INDEX(Leases!$B$5:$B$34,$X62)),IF($W62="V","",""))</f>
        <v/>
      </c>
      <c r="E62" s="17" t="str">
        <f>IF($W62="L",INDEX(Leases!$W$5:$W$34,$X62),IF($W62="V",IF(INDEX(Units!$B$5:$B$54,$X62)="","",INDEX(Units!$B$5:$B$54,$X62)),""))</f>
        <v/>
      </c>
      <c r="F62" s="18" t="str">
        <f>IF($W62="L",IF(INDEX(Leases!$C$5:$C$34,$X62)="","",INDEX(Leases!$C$5:$C$34,$X62)),IF($W62="V",IF(INDEX(Units!$H$5:$H$54,$X62)="","",INDEX(Units!$H$5:$H$54,$X62)),""))</f>
        <v/>
      </c>
      <c r="G62" s="18" t="str">
        <f>IF($W62="L",IF(INDEX(Leases!$D$5:$D$34,$X62)="","No end date",INDEX(Leases!$D$5:$D$34,$X62)),IF($W62="V","",""))</f>
        <v/>
      </c>
      <c r="H62" s="18" t="str">
        <f>IF($W62="L",IF(INDEX(Leases!$E$5:$E$34,$X62)="","",INDEX(Leases!$E$5:$E$34,$X62)),IF($W62="V","",""))</f>
        <v/>
      </c>
      <c r="I62" s="19" t="str">
        <f>IF($W62="L",IF(INDEX(Leases!$X$5:$X$34,$X62)="","",INDEX(Leases!$X$5:$X$34,$X62)),IF($W62="V","",""))</f>
        <v/>
      </c>
      <c r="J62" s="19" t="str">
        <f>IF($W62="L",IF(INDEX(Leases!$Z$5:$Z$34,$X62)="","",INDEX(Leases!$Z$5:$Z$34,$X62)),IF($W62="V","",""))</f>
        <v/>
      </c>
      <c r="K62" s="19" t="str">
        <f>IF($W62="L",IF(INDEX(Leases!$Y$5:$Y$34,$X62)="","",INDEX(Leases!$Y$5:$Y$34,$X62)),IF($W62="V","",""))</f>
        <v/>
      </c>
      <c r="L62" s="19" t="str">
        <f>IF($W62="L",IF(INDEX(Leases!$M$5:$M$34,$X62)="","",INDEX(Leases!$M$5:$M$34,$X62)),IF($W62="V","",""))</f>
        <v/>
      </c>
      <c r="M62" s="18" t="str">
        <f>IF($W62="L",IF(INDEX(Leases!$AA$5:$AA$34,$X62)="","",INDEX(Leases!$AA$5:$AA$34,$X62)),IF($W62="V","",""))</f>
        <v/>
      </c>
      <c r="N62" s="19" t="str">
        <f>IF($W62="L",IF(INDEX(Leases!$AB$5:$AB$34,$X62)="","",INDEX(Leases!$AB$5:$AB$34,$X62)),IF($W62="V","",""))</f>
        <v/>
      </c>
      <c r="O62" s="20" t="str">
        <f>IF($W62="L",IF(INDEX(Leases!$AD$5:$AD$34,$X62)=1,INDEX(Leases!$J$5:$J$34,$X62),""),IF($W62="V","",""))</f>
        <v/>
      </c>
      <c r="P62" s="18" t="str">
        <f>IF($W62="L",IF(INDEX(Leases!$AD$5:$AD$34,$X62)=1,INDEX(Leases!$L$5:$L$34,$X62),""),IF($W62="V","",""))</f>
        <v/>
      </c>
      <c r="Q62" s="19" t="str">
        <f>IF($W62="L",INDEX(Leases!$AE$5:$AE$34,$X62),IF($W62="V","",""))</f>
        <v/>
      </c>
      <c r="R62" s="19" t="str">
        <f>IF($W62="L",INDEX(Leases!$AF$5:$AF$34,$X62),IF($W62="V","",""))</f>
        <v/>
      </c>
      <c r="S62" s="19" t="str">
        <f>IF($W62="L",IF(INDEX(Leases!$AH$5:$AH$34,$X62)="","",INDEX(Leases!$AH$5:$AH$34,$X62)),IF($W62="V","",""))</f>
        <v/>
      </c>
      <c r="T62" s="16" t="str">
        <f>IF($W62="L",TRIM(IF(INDEX(Leases!$AJ$5:$AJ$34,$X62)=1,"Awaiting index: not in rent totals. ","")&amp;IF(INDEX(Leases!$AC$5:$AC$34,$X62)=1,"Rent not started. ","")&amp;IF(INDEX(Leases!$AD$5:$AD$34,$X62)=1,"Abated on the date. ","")&amp;IF(INDEX(Leases!$AG$5:$AG$34,$X62)=1,"Letter of credit expired. ","")),IF($W62="V",IF(INDEX(Units!$H$5:$H$54,$X62)&lt;&gt;"","Vacant. A signed lease starts on the Lease start date.","Vacant."),""))</f>
        <v/>
      </c>
      <c r="U62" s="16" t="str">
        <f>IF($W62="L",IF(INDEX(Leases!$R$5:$R$34,$X62)="","",INDEX(Leases!$R$5:$R$34,$X62)),IF($W62="V",IF(INDEX(Units!$D$5:$D$54,$X62)="","",INDEX(Units!$D$5:$D$54,$X62)),""))</f>
        <v/>
      </c>
      <c r="W62" s="15" t="str">
        <f>IF((ROW()-ROW($A$9))&lt;=$W$7,"L",IF((ROW()-ROW($A$9))&lt;=$W$7+$X$7,"V",""))</f>
        <v/>
      </c>
      <c r="X62" s="15" t="str">
        <f>IF(W62="L",MATCH((ROW()-ROW($A$9)),Leases!$AQ$5:$AQ$34,0),IF(W62="V",MATCH((ROW()-ROW($A$9))-$W$7,Units!$J$5:$J$54,0),""))</f>
        <v/>
      </c>
      <c r="Y62" s="15">
        <f>IF(W62="L",INDEX(Leases!$AI$5:$AI$34,$X62),0)</f>
        <v>0</v>
      </c>
    </row>
    <row r="63">
      <c r="A63" s="15" t="str">
        <f>IF($W63="","",(ROW()-ROW($A$9)))</f>
        <v/>
      </c>
      <c r="B63" s="16" t="str">
        <f>IF($W63="L",IF(INDEX(Leases!$A$5:$A$34,$X63)="","",INDEX(Leases!$A$5:$A$34,$X63)),IF($W63="V","Vacant",""))</f>
        <v/>
      </c>
      <c r="C63" s="16" t="str">
        <f>IF($W63="L",IF(INDEX(Leases!$V$5:$V$34,$X63)="","",INDEX(Leases!$V$5:$V$34,$X63)),IF($W63="V",IF(INDEX(Units!$A$5:$A$54,$X63)="","",INDEX(Units!$A$5:$A$54,$X63)),""))</f>
        <v/>
      </c>
      <c r="D63" s="16" t="str">
        <f>IF($W63="L",IF(INDEX(Leases!$B$5:$B$34,$X63)="","",INDEX(Leases!$B$5:$B$34,$X63)),IF($W63="V","",""))</f>
        <v/>
      </c>
      <c r="E63" s="17" t="str">
        <f>IF($W63="L",INDEX(Leases!$W$5:$W$34,$X63),IF($W63="V",IF(INDEX(Units!$B$5:$B$54,$X63)="","",INDEX(Units!$B$5:$B$54,$X63)),""))</f>
        <v/>
      </c>
      <c r="F63" s="18" t="str">
        <f>IF($W63="L",IF(INDEX(Leases!$C$5:$C$34,$X63)="","",INDEX(Leases!$C$5:$C$34,$X63)),IF($W63="V",IF(INDEX(Units!$H$5:$H$54,$X63)="","",INDEX(Units!$H$5:$H$54,$X63)),""))</f>
        <v/>
      </c>
      <c r="G63" s="18" t="str">
        <f>IF($W63="L",IF(INDEX(Leases!$D$5:$D$34,$X63)="","No end date",INDEX(Leases!$D$5:$D$34,$X63)),IF($W63="V","",""))</f>
        <v/>
      </c>
      <c r="H63" s="18" t="str">
        <f>IF($W63="L",IF(INDEX(Leases!$E$5:$E$34,$X63)="","",INDEX(Leases!$E$5:$E$34,$X63)),IF($W63="V","",""))</f>
        <v/>
      </c>
      <c r="I63" s="19" t="str">
        <f>IF($W63="L",IF(INDEX(Leases!$X$5:$X$34,$X63)="","",INDEX(Leases!$X$5:$X$34,$X63)),IF($W63="V","",""))</f>
        <v/>
      </c>
      <c r="J63" s="19" t="str">
        <f>IF($W63="L",IF(INDEX(Leases!$Z$5:$Z$34,$X63)="","",INDEX(Leases!$Z$5:$Z$34,$X63)),IF($W63="V","",""))</f>
        <v/>
      </c>
      <c r="K63" s="19" t="str">
        <f>IF($W63="L",IF(INDEX(Leases!$Y$5:$Y$34,$X63)="","",INDEX(Leases!$Y$5:$Y$34,$X63)),IF($W63="V","",""))</f>
        <v/>
      </c>
      <c r="L63" s="19" t="str">
        <f>IF($W63="L",IF(INDEX(Leases!$M$5:$M$34,$X63)="","",INDEX(Leases!$M$5:$M$34,$X63)),IF($W63="V","",""))</f>
        <v/>
      </c>
      <c r="M63" s="18" t="str">
        <f>IF($W63="L",IF(INDEX(Leases!$AA$5:$AA$34,$X63)="","",INDEX(Leases!$AA$5:$AA$34,$X63)),IF($W63="V","",""))</f>
        <v/>
      </c>
      <c r="N63" s="19" t="str">
        <f>IF($W63="L",IF(INDEX(Leases!$AB$5:$AB$34,$X63)="","",INDEX(Leases!$AB$5:$AB$34,$X63)),IF($W63="V","",""))</f>
        <v/>
      </c>
      <c r="O63" s="20" t="str">
        <f>IF($W63="L",IF(INDEX(Leases!$AD$5:$AD$34,$X63)=1,INDEX(Leases!$J$5:$J$34,$X63),""),IF($W63="V","",""))</f>
        <v/>
      </c>
      <c r="P63" s="18" t="str">
        <f>IF($W63="L",IF(INDEX(Leases!$AD$5:$AD$34,$X63)=1,INDEX(Leases!$L$5:$L$34,$X63),""),IF($W63="V","",""))</f>
        <v/>
      </c>
      <c r="Q63" s="19" t="str">
        <f>IF($W63="L",INDEX(Leases!$AE$5:$AE$34,$X63),IF($W63="V","",""))</f>
        <v/>
      </c>
      <c r="R63" s="19" t="str">
        <f>IF($W63="L",INDEX(Leases!$AF$5:$AF$34,$X63),IF($W63="V","",""))</f>
        <v/>
      </c>
      <c r="S63" s="19" t="str">
        <f>IF($W63="L",IF(INDEX(Leases!$AH$5:$AH$34,$X63)="","",INDEX(Leases!$AH$5:$AH$34,$X63)),IF($W63="V","",""))</f>
        <v/>
      </c>
      <c r="T63" s="16" t="str">
        <f>IF($W63="L",TRIM(IF(INDEX(Leases!$AJ$5:$AJ$34,$X63)=1,"Awaiting index: not in rent totals. ","")&amp;IF(INDEX(Leases!$AC$5:$AC$34,$X63)=1,"Rent not started. ","")&amp;IF(INDEX(Leases!$AD$5:$AD$34,$X63)=1,"Abated on the date. ","")&amp;IF(INDEX(Leases!$AG$5:$AG$34,$X63)=1,"Letter of credit expired. ","")),IF($W63="V",IF(INDEX(Units!$H$5:$H$54,$X63)&lt;&gt;"","Vacant. A signed lease starts on the Lease start date.","Vacant."),""))</f>
        <v/>
      </c>
      <c r="U63" s="16" t="str">
        <f>IF($W63="L",IF(INDEX(Leases!$R$5:$R$34,$X63)="","",INDEX(Leases!$R$5:$R$34,$X63)),IF($W63="V",IF(INDEX(Units!$D$5:$D$54,$X63)="","",INDEX(Units!$D$5:$D$54,$X63)),""))</f>
        <v/>
      </c>
      <c r="W63" s="15" t="str">
        <f>IF((ROW()-ROW($A$9))&lt;=$W$7,"L",IF((ROW()-ROW($A$9))&lt;=$W$7+$X$7,"V",""))</f>
        <v/>
      </c>
      <c r="X63" s="15" t="str">
        <f>IF(W63="L",MATCH((ROW()-ROW($A$9)),Leases!$AQ$5:$AQ$34,0),IF(W63="V",MATCH((ROW()-ROW($A$9))-$W$7,Units!$J$5:$J$54,0),""))</f>
        <v/>
      </c>
      <c r="Y63" s="15">
        <f>IF(W63="L",INDEX(Leases!$AI$5:$AI$34,$X63),0)</f>
        <v>0</v>
      </c>
    </row>
    <row r="64">
      <c r="A64" s="15" t="str">
        <f>IF($W64="","",(ROW()-ROW($A$9)))</f>
        <v/>
      </c>
      <c r="B64" s="16" t="str">
        <f>IF($W64="L",IF(INDEX(Leases!$A$5:$A$34,$X64)="","",INDEX(Leases!$A$5:$A$34,$X64)),IF($W64="V","Vacant",""))</f>
        <v/>
      </c>
      <c r="C64" s="16" t="str">
        <f>IF($W64="L",IF(INDEX(Leases!$V$5:$V$34,$X64)="","",INDEX(Leases!$V$5:$V$34,$X64)),IF($W64="V",IF(INDEX(Units!$A$5:$A$54,$X64)="","",INDEX(Units!$A$5:$A$54,$X64)),""))</f>
        <v/>
      </c>
      <c r="D64" s="16" t="str">
        <f>IF($W64="L",IF(INDEX(Leases!$B$5:$B$34,$X64)="","",INDEX(Leases!$B$5:$B$34,$X64)),IF($W64="V","",""))</f>
        <v/>
      </c>
      <c r="E64" s="17" t="str">
        <f>IF($W64="L",INDEX(Leases!$W$5:$W$34,$X64),IF($W64="V",IF(INDEX(Units!$B$5:$B$54,$X64)="","",INDEX(Units!$B$5:$B$54,$X64)),""))</f>
        <v/>
      </c>
      <c r="F64" s="18" t="str">
        <f>IF($W64="L",IF(INDEX(Leases!$C$5:$C$34,$X64)="","",INDEX(Leases!$C$5:$C$34,$X64)),IF($W64="V",IF(INDEX(Units!$H$5:$H$54,$X64)="","",INDEX(Units!$H$5:$H$54,$X64)),""))</f>
        <v/>
      </c>
      <c r="G64" s="18" t="str">
        <f>IF($W64="L",IF(INDEX(Leases!$D$5:$D$34,$X64)="","No end date",INDEX(Leases!$D$5:$D$34,$X64)),IF($W64="V","",""))</f>
        <v/>
      </c>
      <c r="H64" s="18" t="str">
        <f>IF($W64="L",IF(INDEX(Leases!$E$5:$E$34,$X64)="","",INDEX(Leases!$E$5:$E$34,$X64)),IF($W64="V","",""))</f>
        <v/>
      </c>
      <c r="I64" s="19" t="str">
        <f>IF($W64="L",IF(INDEX(Leases!$X$5:$X$34,$X64)="","",INDEX(Leases!$X$5:$X$34,$X64)),IF($W64="V","",""))</f>
        <v/>
      </c>
      <c r="J64" s="19" t="str">
        <f>IF($W64="L",IF(INDEX(Leases!$Z$5:$Z$34,$X64)="","",INDEX(Leases!$Z$5:$Z$34,$X64)),IF($W64="V","",""))</f>
        <v/>
      </c>
      <c r="K64" s="19" t="str">
        <f>IF($W64="L",IF(INDEX(Leases!$Y$5:$Y$34,$X64)="","",INDEX(Leases!$Y$5:$Y$34,$X64)),IF($W64="V","",""))</f>
        <v/>
      </c>
      <c r="L64" s="19" t="str">
        <f>IF($W64="L",IF(INDEX(Leases!$M$5:$M$34,$X64)="","",INDEX(Leases!$M$5:$M$34,$X64)),IF($W64="V","",""))</f>
        <v/>
      </c>
      <c r="M64" s="18" t="str">
        <f>IF($W64="L",IF(INDEX(Leases!$AA$5:$AA$34,$X64)="","",INDEX(Leases!$AA$5:$AA$34,$X64)),IF($W64="V","",""))</f>
        <v/>
      </c>
      <c r="N64" s="19" t="str">
        <f>IF($W64="L",IF(INDEX(Leases!$AB$5:$AB$34,$X64)="","",INDEX(Leases!$AB$5:$AB$34,$X64)),IF($W64="V","",""))</f>
        <v/>
      </c>
      <c r="O64" s="20" t="str">
        <f>IF($W64="L",IF(INDEX(Leases!$AD$5:$AD$34,$X64)=1,INDEX(Leases!$J$5:$J$34,$X64),""),IF($W64="V","",""))</f>
        <v/>
      </c>
      <c r="P64" s="18" t="str">
        <f>IF($W64="L",IF(INDEX(Leases!$AD$5:$AD$34,$X64)=1,INDEX(Leases!$L$5:$L$34,$X64),""),IF($W64="V","",""))</f>
        <v/>
      </c>
      <c r="Q64" s="19" t="str">
        <f>IF($W64="L",INDEX(Leases!$AE$5:$AE$34,$X64),IF($W64="V","",""))</f>
        <v/>
      </c>
      <c r="R64" s="19" t="str">
        <f>IF($W64="L",INDEX(Leases!$AF$5:$AF$34,$X64),IF($W64="V","",""))</f>
        <v/>
      </c>
      <c r="S64" s="19" t="str">
        <f>IF($W64="L",IF(INDEX(Leases!$AH$5:$AH$34,$X64)="","",INDEX(Leases!$AH$5:$AH$34,$X64)),IF($W64="V","",""))</f>
        <v/>
      </c>
      <c r="T64" s="16" t="str">
        <f>IF($W64="L",TRIM(IF(INDEX(Leases!$AJ$5:$AJ$34,$X64)=1,"Awaiting index: not in rent totals. ","")&amp;IF(INDEX(Leases!$AC$5:$AC$34,$X64)=1,"Rent not started. ","")&amp;IF(INDEX(Leases!$AD$5:$AD$34,$X64)=1,"Abated on the date. ","")&amp;IF(INDEX(Leases!$AG$5:$AG$34,$X64)=1,"Letter of credit expired. ","")),IF($W64="V",IF(INDEX(Units!$H$5:$H$54,$X64)&lt;&gt;"","Vacant. A signed lease starts on the Lease start date.","Vacant."),""))</f>
        <v/>
      </c>
      <c r="U64" s="16" t="str">
        <f>IF($W64="L",IF(INDEX(Leases!$R$5:$R$34,$X64)="","",INDEX(Leases!$R$5:$R$34,$X64)),IF($W64="V",IF(INDEX(Units!$D$5:$D$54,$X64)="","",INDEX(Units!$D$5:$D$54,$X64)),""))</f>
        <v/>
      </c>
      <c r="W64" s="15" t="str">
        <f>IF((ROW()-ROW($A$9))&lt;=$W$7,"L",IF((ROW()-ROW($A$9))&lt;=$W$7+$X$7,"V",""))</f>
        <v/>
      </c>
      <c r="X64" s="15" t="str">
        <f>IF(W64="L",MATCH((ROW()-ROW($A$9)),Leases!$AQ$5:$AQ$34,0),IF(W64="V",MATCH((ROW()-ROW($A$9))-$W$7,Units!$J$5:$J$54,0),""))</f>
        <v/>
      </c>
      <c r="Y64" s="15">
        <f>IF(W64="L",INDEX(Leases!$AI$5:$AI$34,$X64),0)</f>
        <v>0</v>
      </c>
    </row>
    <row r="65">
      <c r="A65" s="15" t="str">
        <f>IF($W65="","",(ROW()-ROW($A$9)))</f>
        <v/>
      </c>
      <c r="B65" s="16" t="str">
        <f>IF($W65="L",IF(INDEX(Leases!$A$5:$A$34,$X65)="","",INDEX(Leases!$A$5:$A$34,$X65)),IF($W65="V","Vacant",""))</f>
        <v/>
      </c>
      <c r="C65" s="16" t="str">
        <f>IF($W65="L",IF(INDEX(Leases!$V$5:$V$34,$X65)="","",INDEX(Leases!$V$5:$V$34,$X65)),IF($W65="V",IF(INDEX(Units!$A$5:$A$54,$X65)="","",INDEX(Units!$A$5:$A$54,$X65)),""))</f>
        <v/>
      </c>
      <c r="D65" s="16" t="str">
        <f>IF($W65="L",IF(INDEX(Leases!$B$5:$B$34,$X65)="","",INDEX(Leases!$B$5:$B$34,$X65)),IF($W65="V","",""))</f>
        <v/>
      </c>
      <c r="E65" s="17" t="str">
        <f>IF($W65="L",INDEX(Leases!$W$5:$W$34,$X65),IF($W65="V",IF(INDEX(Units!$B$5:$B$54,$X65)="","",INDEX(Units!$B$5:$B$54,$X65)),""))</f>
        <v/>
      </c>
      <c r="F65" s="18" t="str">
        <f>IF($W65="L",IF(INDEX(Leases!$C$5:$C$34,$X65)="","",INDEX(Leases!$C$5:$C$34,$X65)),IF($W65="V",IF(INDEX(Units!$H$5:$H$54,$X65)="","",INDEX(Units!$H$5:$H$54,$X65)),""))</f>
        <v/>
      </c>
      <c r="G65" s="18" t="str">
        <f>IF($W65="L",IF(INDEX(Leases!$D$5:$D$34,$X65)="","No end date",INDEX(Leases!$D$5:$D$34,$X65)),IF($W65="V","",""))</f>
        <v/>
      </c>
      <c r="H65" s="18" t="str">
        <f>IF($W65="L",IF(INDEX(Leases!$E$5:$E$34,$X65)="","",INDEX(Leases!$E$5:$E$34,$X65)),IF($W65="V","",""))</f>
        <v/>
      </c>
      <c r="I65" s="19" t="str">
        <f>IF($W65="L",IF(INDEX(Leases!$X$5:$X$34,$X65)="","",INDEX(Leases!$X$5:$X$34,$X65)),IF($W65="V","",""))</f>
        <v/>
      </c>
      <c r="J65" s="19" t="str">
        <f>IF($W65="L",IF(INDEX(Leases!$Z$5:$Z$34,$X65)="","",INDEX(Leases!$Z$5:$Z$34,$X65)),IF($W65="V","",""))</f>
        <v/>
      </c>
      <c r="K65" s="19" t="str">
        <f>IF($W65="L",IF(INDEX(Leases!$Y$5:$Y$34,$X65)="","",INDEX(Leases!$Y$5:$Y$34,$X65)),IF($W65="V","",""))</f>
        <v/>
      </c>
      <c r="L65" s="19" t="str">
        <f>IF($W65="L",IF(INDEX(Leases!$M$5:$M$34,$X65)="","",INDEX(Leases!$M$5:$M$34,$X65)),IF($W65="V","",""))</f>
        <v/>
      </c>
      <c r="M65" s="18" t="str">
        <f>IF($W65="L",IF(INDEX(Leases!$AA$5:$AA$34,$X65)="","",INDEX(Leases!$AA$5:$AA$34,$X65)),IF($W65="V","",""))</f>
        <v/>
      </c>
      <c r="N65" s="19" t="str">
        <f>IF($W65="L",IF(INDEX(Leases!$AB$5:$AB$34,$X65)="","",INDEX(Leases!$AB$5:$AB$34,$X65)),IF($W65="V","",""))</f>
        <v/>
      </c>
      <c r="O65" s="20" t="str">
        <f>IF($W65="L",IF(INDEX(Leases!$AD$5:$AD$34,$X65)=1,INDEX(Leases!$J$5:$J$34,$X65),""),IF($W65="V","",""))</f>
        <v/>
      </c>
      <c r="P65" s="18" t="str">
        <f>IF($W65="L",IF(INDEX(Leases!$AD$5:$AD$34,$X65)=1,INDEX(Leases!$L$5:$L$34,$X65),""),IF($W65="V","",""))</f>
        <v/>
      </c>
      <c r="Q65" s="19" t="str">
        <f>IF($W65="L",INDEX(Leases!$AE$5:$AE$34,$X65),IF($W65="V","",""))</f>
        <v/>
      </c>
      <c r="R65" s="19" t="str">
        <f>IF($W65="L",INDEX(Leases!$AF$5:$AF$34,$X65),IF($W65="V","",""))</f>
        <v/>
      </c>
      <c r="S65" s="19" t="str">
        <f>IF($W65="L",IF(INDEX(Leases!$AH$5:$AH$34,$X65)="","",INDEX(Leases!$AH$5:$AH$34,$X65)),IF($W65="V","",""))</f>
        <v/>
      </c>
      <c r="T65" s="16" t="str">
        <f>IF($W65="L",TRIM(IF(INDEX(Leases!$AJ$5:$AJ$34,$X65)=1,"Awaiting index: not in rent totals. ","")&amp;IF(INDEX(Leases!$AC$5:$AC$34,$X65)=1,"Rent not started. ","")&amp;IF(INDEX(Leases!$AD$5:$AD$34,$X65)=1,"Abated on the date. ","")&amp;IF(INDEX(Leases!$AG$5:$AG$34,$X65)=1,"Letter of credit expired. ","")),IF($W65="V",IF(INDEX(Units!$H$5:$H$54,$X65)&lt;&gt;"","Vacant. A signed lease starts on the Lease start date.","Vacant."),""))</f>
        <v/>
      </c>
      <c r="U65" s="16" t="str">
        <f>IF($W65="L",IF(INDEX(Leases!$R$5:$R$34,$X65)="","",INDEX(Leases!$R$5:$R$34,$X65)),IF($W65="V",IF(INDEX(Units!$D$5:$D$54,$X65)="","",INDEX(Units!$D$5:$D$54,$X65)),""))</f>
        <v/>
      </c>
      <c r="W65" s="15" t="str">
        <f>IF((ROW()-ROW($A$9))&lt;=$W$7,"L",IF((ROW()-ROW($A$9))&lt;=$W$7+$X$7,"V",""))</f>
        <v/>
      </c>
      <c r="X65" s="15" t="str">
        <f>IF(W65="L",MATCH((ROW()-ROW($A$9)),Leases!$AQ$5:$AQ$34,0),IF(W65="V",MATCH((ROW()-ROW($A$9))-$W$7,Units!$J$5:$J$54,0),""))</f>
        <v/>
      </c>
      <c r="Y65" s="15">
        <f>IF(W65="L",INDEX(Leases!$AI$5:$AI$34,$X65),0)</f>
        <v>0</v>
      </c>
    </row>
    <row r="66">
      <c r="A66" s="15" t="str">
        <f>IF($W66="","",(ROW()-ROW($A$9)))</f>
        <v/>
      </c>
      <c r="B66" s="16" t="str">
        <f>IF($W66="L",IF(INDEX(Leases!$A$5:$A$34,$X66)="","",INDEX(Leases!$A$5:$A$34,$X66)),IF($W66="V","Vacant",""))</f>
        <v/>
      </c>
      <c r="C66" s="16" t="str">
        <f>IF($W66="L",IF(INDEX(Leases!$V$5:$V$34,$X66)="","",INDEX(Leases!$V$5:$V$34,$X66)),IF($W66="V",IF(INDEX(Units!$A$5:$A$54,$X66)="","",INDEX(Units!$A$5:$A$54,$X66)),""))</f>
        <v/>
      </c>
      <c r="D66" s="16" t="str">
        <f>IF($W66="L",IF(INDEX(Leases!$B$5:$B$34,$X66)="","",INDEX(Leases!$B$5:$B$34,$X66)),IF($W66="V","",""))</f>
        <v/>
      </c>
      <c r="E66" s="17" t="str">
        <f>IF($W66="L",INDEX(Leases!$W$5:$W$34,$X66),IF($W66="V",IF(INDEX(Units!$B$5:$B$54,$X66)="","",INDEX(Units!$B$5:$B$54,$X66)),""))</f>
        <v/>
      </c>
      <c r="F66" s="18" t="str">
        <f>IF($W66="L",IF(INDEX(Leases!$C$5:$C$34,$X66)="","",INDEX(Leases!$C$5:$C$34,$X66)),IF($W66="V",IF(INDEX(Units!$H$5:$H$54,$X66)="","",INDEX(Units!$H$5:$H$54,$X66)),""))</f>
        <v/>
      </c>
      <c r="G66" s="18" t="str">
        <f>IF($W66="L",IF(INDEX(Leases!$D$5:$D$34,$X66)="","No end date",INDEX(Leases!$D$5:$D$34,$X66)),IF($W66="V","",""))</f>
        <v/>
      </c>
      <c r="H66" s="18" t="str">
        <f>IF($W66="L",IF(INDEX(Leases!$E$5:$E$34,$X66)="","",INDEX(Leases!$E$5:$E$34,$X66)),IF($W66="V","",""))</f>
        <v/>
      </c>
      <c r="I66" s="19" t="str">
        <f>IF($W66="L",IF(INDEX(Leases!$X$5:$X$34,$X66)="","",INDEX(Leases!$X$5:$X$34,$X66)),IF($W66="V","",""))</f>
        <v/>
      </c>
      <c r="J66" s="19" t="str">
        <f>IF($W66="L",IF(INDEX(Leases!$Z$5:$Z$34,$X66)="","",INDEX(Leases!$Z$5:$Z$34,$X66)),IF($W66="V","",""))</f>
        <v/>
      </c>
      <c r="K66" s="19" t="str">
        <f>IF($W66="L",IF(INDEX(Leases!$Y$5:$Y$34,$X66)="","",INDEX(Leases!$Y$5:$Y$34,$X66)),IF($W66="V","",""))</f>
        <v/>
      </c>
      <c r="L66" s="19" t="str">
        <f>IF($W66="L",IF(INDEX(Leases!$M$5:$M$34,$X66)="","",INDEX(Leases!$M$5:$M$34,$X66)),IF($W66="V","",""))</f>
        <v/>
      </c>
      <c r="M66" s="18" t="str">
        <f>IF($W66="L",IF(INDEX(Leases!$AA$5:$AA$34,$X66)="","",INDEX(Leases!$AA$5:$AA$34,$X66)),IF($W66="V","",""))</f>
        <v/>
      </c>
      <c r="N66" s="19" t="str">
        <f>IF($W66="L",IF(INDEX(Leases!$AB$5:$AB$34,$X66)="","",INDEX(Leases!$AB$5:$AB$34,$X66)),IF($W66="V","",""))</f>
        <v/>
      </c>
      <c r="O66" s="20" t="str">
        <f>IF($W66="L",IF(INDEX(Leases!$AD$5:$AD$34,$X66)=1,INDEX(Leases!$J$5:$J$34,$X66),""),IF($W66="V","",""))</f>
        <v/>
      </c>
      <c r="P66" s="18" t="str">
        <f>IF($W66="L",IF(INDEX(Leases!$AD$5:$AD$34,$X66)=1,INDEX(Leases!$L$5:$L$34,$X66),""),IF($W66="V","",""))</f>
        <v/>
      </c>
      <c r="Q66" s="19" t="str">
        <f>IF($W66="L",INDEX(Leases!$AE$5:$AE$34,$X66),IF($W66="V","",""))</f>
        <v/>
      </c>
      <c r="R66" s="19" t="str">
        <f>IF($W66="L",INDEX(Leases!$AF$5:$AF$34,$X66),IF($W66="V","",""))</f>
        <v/>
      </c>
      <c r="S66" s="19" t="str">
        <f>IF($W66="L",IF(INDEX(Leases!$AH$5:$AH$34,$X66)="","",INDEX(Leases!$AH$5:$AH$34,$X66)),IF($W66="V","",""))</f>
        <v/>
      </c>
      <c r="T66" s="16" t="str">
        <f>IF($W66="L",TRIM(IF(INDEX(Leases!$AJ$5:$AJ$34,$X66)=1,"Awaiting index: not in rent totals. ","")&amp;IF(INDEX(Leases!$AC$5:$AC$34,$X66)=1,"Rent not started. ","")&amp;IF(INDEX(Leases!$AD$5:$AD$34,$X66)=1,"Abated on the date. ","")&amp;IF(INDEX(Leases!$AG$5:$AG$34,$X66)=1,"Letter of credit expired. ","")),IF($W66="V",IF(INDEX(Units!$H$5:$H$54,$X66)&lt;&gt;"","Vacant. A signed lease starts on the Lease start date.","Vacant."),""))</f>
        <v/>
      </c>
      <c r="U66" s="16" t="str">
        <f>IF($W66="L",IF(INDEX(Leases!$R$5:$R$34,$X66)="","",INDEX(Leases!$R$5:$R$34,$X66)),IF($W66="V",IF(INDEX(Units!$D$5:$D$54,$X66)="","",INDEX(Units!$D$5:$D$54,$X66)),""))</f>
        <v/>
      </c>
      <c r="W66" s="15" t="str">
        <f>IF((ROW()-ROW($A$9))&lt;=$W$7,"L",IF((ROW()-ROW($A$9))&lt;=$W$7+$X$7,"V",""))</f>
        <v/>
      </c>
      <c r="X66" s="15" t="str">
        <f>IF(W66="L",MATCH((ROW()-ROW($A$9)),Leases!$AQ$5:$AQ$34,0),IF(W66="V",MATCH((ROW()-ROW($A$9))-$W$7,Units!$J$5:$J$54,0),""))</f>
        <v/>
      </c>
      <c r="Y66" s="15">
        <f>IF(W66="L",INDEX(Leases!$AI$5:$AI$34,$X66),0)</f>
        <v>0</v>
      </c>
    </row>
    <row r="67">
      <c r="A67" s="15" t="str">
        <f>IF($W67="","",(ROW()-ROW($A$9)))</f>
        <v/>
      </c>
      <c r="B67" s="16" t="str">
        <f>IF($W67="L",IF(INDEX(Leases!$A$5:$A$34,$X67)="","",INDEX(Leases!$A$5:$A$34,$X67)),IF($W67="V","Vacant",""))</f>
        <v/>
      </c>
      <c r="C67" s="16" t="str">
        <f>IF($W67="L",IF(INDEX(Leases!$V$5:$V$34,$X67)="","",INDEX(Leases!$V$5:$V$34,$X67)),IF($W67="V",IF(INDEX(Units!$A$5:$A$54,$X67)="","",INDEX(Units!$A$5:$A$54,$X67)),""))</f>
        <v/>
      </c>
      <c r="D67" s="16" t="str">
        <f>IF($W67="L",IF(INDEX(Leases!$B$5:$B$34,$X67)="","",INDEX(Leases!$B$5:$B$34,$X67)),IF($W67="V","",""))</f>
        <v/>
      </c>
      <c r="E67" s="17" t="str">
        <f>IF($W67="L",INDEX(Leases!$W$5:$W$34,$X67),IF($W67="V",IF(INDEX(Units!$B$5:$B$54,$X67)="","",INDEX(Units!$B$5:$B$54,$X67)),""))</f>
        <v/>
      </c>
      <c r="F67" s="18" t="str">
        <f>IF($W67="L",IF(INDEX(Leases!$C$5:$C$34,$X67)="","",INDEX(Leases!$C$5:$C$34,$X67)),IF($W67="V",IF(INDEX(Units!$H$5:$H$54,$X67)="","",INDEX(Units!$H$5:$H$54,$X67)),""))</f>
        <v/>
      </c>
      <c r="G67" s="18" t="str">
        <f>IF($W67="L",IF(INDEX(Leases!$D$5:$D$34,$X67)="","No end date",INDEX(Leases!$D$5:$D$34,$X67)),IF($W67="V","",""))</f>
        <v/>
      </c>
      <c r="H67" s="18" t="str">
        <f>IF($W67="L",IF(INDEX(Leases!$E$5:$E$34,$X67)="","",INDEX(Leases!$E$5:$E$34,$X67)),IF($W67="V","",""))</f>
        <v/>
      </c>
      <c r="I67" s="19" t="str">
        <f>IF($W67="L",IF(INDEX(Leases!$X$5:$X$34,$X67)="","",INDEX(Leases!$X$5:$X$34,$X67)),IF($W67="V","",""))</f>
        <v/>
      </c>
      <c r="J67" s="19" t="str">
        <f>IF($W67="L",IF(INDEX(Leases!$Z$5:$Z$34,$X67)="","",INDEX(Leases!$Z$5:$Z$34,$X67)),IF($W67="V","",""))</f>
        <v/>
      </c>
      <c r="K67" s="19" t="str">
        <f>IF($W67="L",IF(INDEX(Leases!$Y$5:$Y$34,$X67)="","",INDEX(Leases!$Y$5:$Y$34,$X67)),IF($W67="V","",""))</f>
        <v/>
      </c>
      <c r="L67" s="19" t="str">
        <f>IF($W67="L",IF(INDEX(Leases!$M$5:$M$34,$X67)="","",INDEX(Leases!$M$5:$M$34,$X67)),IF($W67="V","",""))</f>
        <v/>
      </c>
      <c r="M67" s="18" t="str">
        <f>IF($W67="L",IF(INDEX(Leases!$AA$5:$AA$34,$X67)="","",INDEX(Leases!$AA$5:$AA$34,$X67)),IF($W67="V","",""))</f>
        <v/>
      </c>
      <c r="N67" s="19" t="str">
        <f>IF($W67="L",IF(INDEX(Leases!$AB$5:$AB$34,$X67)="","",INDEX(Leases!$AB$5:$AB$34,$X67)),IF($W67="V","",""))</f>
        <v/>
      </c>
      <c r="O67" s="20" t="str">
        <f>IF($W67="L",IF(INDEX(Leases!$AD$5:$AD$34,$X67)=1,INDEX(Leases!$J$5:$J$34,$X67),""),IF($W67="V","",""))</f>
        <v/>
      </c>
      <c r="P67" s="18" t="str">
        <f>IF($W67="L",IF(INDEX(Leases!$AD$5:$AD$34,$X67)=1,INDEX(Leases!$L$5:$L$34,$X67),""),IF($W67="V","",""))</f>
        <v/>
      </c>
      <c r="Q67" s="19" t="str">
        <f>IF($W67="L",INDEX(Leases!$AE$5:$AE$34,$X67),IF($W67="V","",""))</f>
        <v/>
      </c>
      <c r="R67" s="19" t="str">
        <f>IF($W67="L",INDEX(Leases!$AF$5:$AF$34,$X67),IF($W67="V","",""))</f>
        <v/>
      </c>
      <c r="S67" s="19" t="str">
        <f>IF($W67="L",IF(INDEX(Leases!$AH$5:$AH$34,$X67)="","",INDEX(Leases!$AH$5:$AH$34,$X67)),IF($W67="V","",""))</f>
        <v/>
      </c>
      <c r="T67" s="16" t="str">
        <f>IF($W67="L",TRIM(IF(INDEX(Leases!$AJ$5:$AJ$34,$X67)=1,"Awaiting index: not in rent totals. ","")&amp;IF(INDEX(Leases!$AC$5:$AC$34,$X67)=1,"Rent not started. ","")&amp;IF(INDEX(Leases!$AD$5:$AD$34,$X67)=1,"Abated on the date. ","")&amp;IF(INDEX(Leases!$AG$5:$AG$34,$X67)=1,"Letter of credit expired. ","")),IF($W67="V",IF(INDEX(Units!$H$5:$H$54,$X67)&lt;&gt;"","Vacant. A signed lease starts on the Lease start date.","Vacant."),""))</f>
        <v/>
      </c>
      <c r="U67" s="16" t="str">
        <f>IF($W67="L",IF(INDEX(Leases!$R$5:$R$34,$X67)="","",INDEX(Leases!$R$5:$R$34,$X67)),IF($W67="V",IF(INDEX(Units!$D$5:$D$54,$X67)="","",INDEX(Units!$D$5:$D$54,$X67)),""))</f>
        <v/>
      </c>
      <c r="W67" s="15" t="str">
        <f>IF((ROW()-ROW($A$9))&lt;=$W$7,"L",IF((ROW()-ROW($A$9))&lt;=$W$7+$X$7,"V",""))</f>
        <v/>
      </c>
      <c r="X67" s="15" t="str">
        <f>IF(W67="L",MATCH((ROW()-ROW($A$9)),Leases!$AQ$5:$AQ$34,0),IF(W67="V",MATCH((ROW()-ROW($A$9))-$W$7,Units!$J$5:$J$54,0),""))</f>
        <v/>
      </c>
      <c r="Y67" s="15">
        <f>IF(W67="L",INDEX(Leases!$AI$5:$AI$34,$X67),0)</f>
        <v>0</v>
      </c>
    </row>
    <row r="68">
      <c r="A68" s="15" t="str">
        <f>IF($W68="","",(ROW()-ROW($A$9)))</f>
        <v/>
      </c>
      <c r="B68" s="16" t="str">
        <f>IF($W68="L",IF(INDEX(Leases!$A$5:$A$34,$X68)="","",INDEX(Leases!$A$5:$A$34,$X68)),IF($W68="V","Vacant",""))</f>
        <v/>
      </c>
      <c r="C68" s="16" t="str">
        <f>IF($W68="L",IF(INDEX(Leases!$V$5:$V$34,$X68)="","",INDEX(Leases!$V$5:$V$34,$X68)),IF($W68="V",IF(INDEX(Units!$A$5:$A$54,$X68)="","",INDEX(Units!$A$5:$A$54,$X68)),""))</f>
        <v/>
      </c>
      <c r="D68" s="16" t="str">
        <f>IF($W68="L",IF(INDEX(Leases!$B$5:$B$34,$X68)="","",INDEX(Leases!$B$5:$B$34,$X68)),IF($W68="V","",""))</f>
        <v/>
      </c>
      <c r="E68" s="17" t="str">
        <f>IF($W68="L",INDEX(Leases!$W$5:$W$34,$X68),IF($W68="V",IF(INDEX(Units!$B$5:$B$54,$X68)="","",INDEX(Units!$B$5:$B$54,$X68)),""))</f>
        <v/>
      </c>
      <c r="F68" s="18" t="str">
        <f>IF($W68="L",IF(INDEX(Leases!$C$5:$C$34,$X68)="","",INDEX(Leases!$C$5:$C$34,$X68)),IF($W68="V",IF(INDEX(Units!$H$5:$H$54,$X68)="","",INDEX(Units!$H$5:$H$54,$X68)),""))</f>
        <v/>
      </c>
      <c r="G68" s="18" t="str">
        <f>IF($W68="L",IF(INDEX(Leases!$D$5:$D$34,$X68)="","No end date",INDEX(Leases!$D$5:$D$34,$X68)),IF($W68="V","",""))</f>
        <v/>
      </c>
      <c r="H68" s="18" t="str">
        <f>IF($W68="L",IF(INDEX(Leases!$E$5:$E$34,$X68)="","",INDEX(Leases!$E$5:$E$34,$X68)),IF($W68="V","",""))</f>
        <v/>
      </c>
      <c r="I68" s="19" t="str">
        <f>IF($W68="L",IF(INDEX(Leases!$X$5:$X$34,$X68)="","",INDEX(Leases!$X$5:$X$34,$X68)),IF($W68="V","",""))</f>
        <v/>
      </c>
      <c r="J68" s="19" t="str">
        <f>IF($W68="L",IF(INDEX(Leases!$Z$5:$Z$34,$X68)="","",INDEX(Leases!$Z$5:$Z$34,$X68)),IF($W68="V","",""))</f>
        <v/>
      </c>
      <c r="K68" s="19" t="str">
        <f>IF($W68="L",IF(INDEX(Leases!$Y$5:$Y$34,$X68)="","",INDEX(Leases!$Y$5:$Y$34,$X68)),IF($W68="V","",""))</f>
        <v/>
      </c>
      <c r="L68" s="19" t="str">
        <f>IF($W68="L",IF(INDEX(Leases!$M$5:$M$34,$X68)="","",INDEX(Leases!$M$5:$M$34,$X68)),IF($W68="V","",""))</f>
        <v/>
      </c>
      <c r="M68" s="18" t="str">
        <f>IF($W68="L",IF(INDEX(Leases!$AA$5:$AA$34,$X68)="","",INDEX(Leases!$AA$5:$AA$34,$X68)),IF($W68="V","",""))</f>
        <v/>
      </c>
      <c r="N68" s="19" t="str">
        <f>IF($W68="L",IF(INDEX(Leases!$AB$5:$AB$34,$X68)="","",INDEX(Leases!$AB$5:$AB$34,$X68)),IF($W68="V","",""))</f>
        <v/>
      </c>
      <c r="O68" s="20" t="str">
        <f>IF($W68="L",IF(INDEX(Leases!$AD$5:$AD$34,$X68)=1,INDEX(Leases!$J$5:$J$34,$X68),""),IF($W68="V","",""))</f>
        <v/>
      </c>
      <c r="P68" s="18" t="str">
        <f>IF($W68="L",IF(INDEX(Leases!$AD$5:$AD$34,$X68)=1,INDEX(Leases!$L$5:$L$34,$X68),""),IF($W68="V","",""))</f>
        <v/>
      </c>
      <c r="Q68" s="19" t="str">
        <f>IF($W68="L",INDEX(Leases!$AE$5:$AE$34,$X68),IF($W68="V","",""))</f>
        <v/>
      </c>
      <c r="R68" s="19" t="str">
        <f>IF($W68="L",INDEX(Leases!$AF$5:$AF$34,$X68),IF($W68="V","",""))</f>
        <v/>
      </c>
      <c r="S68" s="19" t="str">
        <f>IF($W68="L",IF(INDEX(Leases!$AH$5:$AH$34,$X68)="","",INDEX(Leases!$AH$5:$AH$34,$X68)),IF($W68="V","",""))</f>
        <v/>
      </c>
      <c r="T68" s="16" t="str">
        <f>IF($W68="L",TRIM(IF(INDEX(Leases!$AJ$5:$AJ$34,$X68)=1,"Awaiting index: not in rent totals. ","")&amp;IF(INDEX(Leases!$AC$5:$AC$34,$X68)=1,"Rent not started. ","")&amp;IF(INDEX(Leases!$AD$5:$AD$34,$X68)=1,"Abated on the date. ","")&amp;IF(INDEX(Leases!$AG$5:$AG$34,$X68)=1,"Letter of credit expired. ","")),IF($W68="V",IF(INDEX(Units!$H$5:$H$54,$X68)&lt;&gt;"","Vacant. A signed lease starts on the Lease start date.","Vacant."),""))</f>
        <v/>
      </c>
      <c r="U68" s="16" t="str">
        <f>IF($W68="L",IF(INDEX(Leases!$R$5:$R$34,$X68)="","",INDEX(Leases!$R$5:$R$34,$X68)),IF($W68="V",IF(INDEX(Units!$D$5:$D$54,$X68)="","",INDEX(Units!$D$5:$D$54,$X68)),""))</f>
        <v/>
      </c>
      <c r="W68" s="15" t="str">
        <f>IF((ROW()-ROW($A$9))&lt;=$W$7,"L",IF((ROW()-ROW($A$9))&lt;=$W$7+$X$7,"V",""))</f>
        <v/>
      </c>
      <c r="X68" s="15" t="str">
        <f>IF(W68="L",MATCH((ROW()-ROW($A$9)),Leases!$AQ$5:$AQ$34,0),IF(W68="V",MATCH((ROW()-ROW($A$9))-$W$7,Units!$J$5:$J$54,0),""))</f>
        <v/>
      </c>
      <c r="Y68" s="15">
        <f>IF(W68="L",INDEX(Leases!$AI$5:$AI$34,$X68),0)</f>
        <v>0</v>
      </c>
    </row>
    <row r="69">
      <c r="A69" s="15" t="str">
        <f>IF($W69="","",(ROW()-ROW($A$9)))</f>
        <v/>
      </c>
      <c r="B69" s="16" t="str">
        <f>IF($W69="L",IF(INDEX(Leases!$A$5:$A$34,$X69)="","",INDEX(Leases!$A$5:$A$34,$X69)),IF($W69="V","Vacant",""))</f>
        <v/>
      </c>
      <c r="C69" s="16" t="str">
        <f>IF($W69="L",IF(INDEX(Leases!$V$5:$V$34,$X69)="","",INDEX(Leases!$V$5:$V$34,$X69)),IF($W69="V",IF(INDEX(Units!$A$5:$A$54,$X69)="","",INDEX(Units!$A$5:$A$54,$X69)),""))</f>
        <v/>
      </c>
      <c r="D69" s="16" t="str">
        <f>IF($W69="L",IF(INDEX(Leases!$B$5:$B$34,$X69)="","",INDEX(Leases!$B$5:$B$34,$X69)),IF($W69="V","",""))</f>
        <v/>
      </c>
      <c r="E69" s="17" t="str">
        <f>IF($W69="L",INDEX(Leases!$W$5:$W$34,$X69),IF($W69="V",IF(INDEX(Units!$B$5:$B$54,$X69)="","",INDEX(Units!$B$5:$B$54,$X69)),""))</f>
        <v/>
      </c>
      <c r="F69" s="18" t="str">
        <f>IF($W69="L",IF(INDEX(Leases!$C$5:$C$34,$X69)="","",INDEX(Leases!$C$5:$C$34,$X69)),IF($W69="V",IF(INDEX(Units!$H$5:$H$54,$X69)="","",INDEX(Units!$H$5:$H$54,$X69)),""))</f>
        <v/>
      </c>
      <c r="G69" s="18" t="str">
        <f>IF($W69="L",IF(INDEX(Leases!$D$5:$D$34,$X69)="","No end date",INDEX(Leases!$D$5:$D$34,$X69)),IF($W69="V","",""))</f>
        <v/>
      </c>
      <c r="H69" s="18" t="str">
        <f>IF($W69="L",IF(INDEX(Leases!$E$5:$E$34,$X69)="","",INDEX(Leases!$E$5:$E$34,$X69)),IF($W69="V","",""))</f>
        <v/>
      </c>
      <c r="I69" s="19" t="str">
        <f>IF($W69="L",IF(INDEX(Leases!$X$5:$X$34,$X69)="","",INDEX(Leases!$X$5:$X$34,$X69)),IF($W69="V","",""))</f>
        <v/>
      </c>
      <c r="J69" s="19" t="str">
        <f>IF($W69="L",IF(INDEX(Leases!$Z$5:$Z$34,$X69)="","",INDEX(Leases!$Z$5:$Z$34,$X69)),IF($W69="V","",""))</f>
        <v/>
      </c>
      <c r="K69" s="19" t="str">
        <f>IF($W69="L",IF(INDEX(Leases!$Y$5:$Y$34,$X69)="","",INDEX(Leases!$Y$5:$Y$34,$X69)),IF($W69="V","",""))</f>
        <v/>
      </c>
      <c r="L69" s="19" t="str">
        <f>IF($W69="L",IF(INDEX(Leases!$M$5:$M$34,$X69)="","",INDEX(Leases!$M$5:$M$34,$X69)),IF($W69="V","",""))</f>
        <v/>
      </c>
      <c r="M69" s="18" t="str">
        <f>IF($W69="L",IF(INDEX(Leases!$AA$5:$AA$34,$X69)="","",INDEX(Leases!$AA$5:$AA$34,$X69)),IF($W69="V","",""))</f>
        <v/>
      </c>
      <c r="N69" s="19" t="str">
        <f>IF($W69="L",IF(INDEX(Leases!$AB$5:$AB$34,$X69)="","",INDEX(Leases!$AB$5:$AB$34,$X69)),IF($W69="V","",""))</f>
        <v/>
      </c>
      <c r="O69" s="20" t="str">
        <f>IF($W69="L",IF(INDEX(Leases!$AD$5:$AD$34,$X69)=1,INDEX(Leases!$J$5:$J$34,$X69),""),IF($W69="V","",""))</f>
        <v/>
      </c>
      <c r="P69" s="18" t="str">
        <f>IF($W69="L",IF(INDEX(Leases!$AD$5:$AD$34,$X69)=1,INDEX(Leases!$L$5:$L$34,$X69),""),IF($W69="V","",""))</f>
        <v/>
      </c>
      <c r="Q69" s="19" t="str">
        <f>IF($W69="L",INDEX(Leases!$AE$5:$AE$34,$X69),IF($W69="V","",""))</f>
        <v/>
      </c>
      <c r="R69" s="19" t="str">
        <f>IF($W69="L",INDEX(Leases!$AF$5:$AF$34,$X69),IF($W69="V","",""))</f>
        <v/>
      </c>
      <c r="S69" s="19" t="str">
        <f>IF($W69="L",IF(INDEX(Leases!$AH$5:$AH$34,$X69)="","",INDEX(Leases!$AH$5:$AH$34,$X69)),IF($W69="V","",""))</f>
        <v/>
      </c>
      <c r="T69" s="16" t="str">
        <f>IF($W69="L",TRIM(IF(INDEX(Leases!$AJ$5:$AJ$34,$X69)=1,"Awaiting index: not in rent totals. ","")&amp;IF(INDEX(Leases!$AC$5:$AC$34,$X69)=1,"Rent not started. ","")&amp;IF(INDEX(Leases!$AD$5:$AD$34,$X69)=1,"Abated on the date. ","")&amp;IF(INDEX(Leases!$AG$5:$AG$34,$X69)=1,"Letter of credit expired. ","")),IF($W69="V",IF(INDEX(Units!$H$5:$H$54,$X69)&lt;&gt;"","Vacant. A signed lease starts on the Lease start date.","Vacant."),""))</f>
        <v/>
      </c>
      <c r="U69" s="16" t="str">
        <f>IF($W69="L",IF(INDEX(Leases!$R$5:$R$34,$X69)="","",INDEX(Leases!$R$5:$R$34,$X69)),IF($W69="V",IF(INDEX(Units!$D$5:$D$54,$X69)="","",INDEX(Units!$D$5:$D$54,$X69)),""))</f>
        <v/>
      </c>
      <c r="W69" s="15" t="str">
        <f>IF((ROW()-ROW($A$9))&lt;=$W$7,"L",IF((ROW()-ROW($A$9))&lt;=$W$7+$X$7,"V",""))</f>
        <v/>
      </c>
      <c r="X69" s="15" t="str">
        <f>IF(W69="L",MATCH((ROW()-ROW($A$9)),Leases!$AQ$5:$AQ$34,0),IF(W69="V",MATCH((ROW()-ROW($A$9))-$W$7,Units!$J$5:$J$54,0),""))</f>
        <v/>
      </c>
      <c r="Y69" s="15">
        <f>IF(W69="L",INDEX(Leases!$AI$5:$AI$34,$X69),0)</f>
        <v>0</v>
      </c>
    </row>
    <row r="70">
      <c r="A70" s="15" t="str">
        <f>IF($W70="","",(ROW()-ROW($A$9)))</f>
        <v/>
      </c>
      <c r="B70" s="16" t="str">
        <f>IF($W70="L",IF(INDEX(Leases!$A$5:$A$34,$X70)="","",INDEX(Leases!$A$5:$A$34,$X70)),IF($W70="V","Vacant",""))</f>
        <v/>
      </c>
      <c r="C70" s="16" t="str">
        <f>IF($W70="L",IF(INDEX(Leases!$V$5:$V$34,$X70)="","",INDEX(Leases!$V$5:$V$34,$X70)),IF($W70="V",IF(INDEX(Units!$A$5:$A$54,$X70)="","",INDEX(Units!$A$5:$A$54,$X70)),""))</f>
        <v/>
      </c>
      <c r="D70" s="16" t="str">
        <f>IF($W70="L",IF(INDEX(Leases!$B$5:$B$34,$X70)="","",INDEX(Leases!$B$5:$B$34,$X70)),IF($W70="V","",""))</f>
        <v/>
      </c>
      <c r="E70" s="17" t="str">
        <f>IF($W70="L",INDEX(Leases!$W$5:$W$34,$X70),IF($W70="V",IF(INDEX(Units!$B$5:$B$54,$X70)="","",INDEX(Units!$B$5:$B$54,$X70)),""))</f>
        <v/>
      </c>
      <c r="F70" s="18" t="str">
        <f>IF($W70="L",IF(INDEX(Leases!$C$5:$C$34,$X70)="","",INDEX(Leases!$C$5:$C$34,$X70)),IF($W70="V",IF(INDEX(Units!$H$5:$H$54,$X70)="","",INDEX(Units!$H$5:$H$54,$X70)),""))</f>
        <v/>
      </c>
      <c r="G70" s="18" t="str">
        <f>IF($W70="L",IF(INDEX(Leases!$D$5:$D$34,$X70)="","No end date",INDEX(Leases!$D$5:$D$34,$X70)),IF($W70="V","",""))</f>
        <v/>
      </c>
      <c r="H70" s="18" t="str">
        <f>IF($W70="L",IF(INDEX(Leases!$E$5:$E$34,$X70)="","",INDEX(Leases!$E$5:$E$34,$X70)),IF($W70="V","",""))</f>
        <v/>
      </c>
      <c r="I70" s="19" t="str">
        <f>IF($W70="L",IF(INDEX(Leases!$X$5:$X$34,$X70)="","",INDEX(Leases!$X$5:$X$34,$X70)),IF($W70="V","",""))</f>
        <v/>
      </c>
      <c r="J70" s="19" t="str">
        <f>IF($W70="L",IF(INDEX(Leases!$Z$5:$Z$34,$X70)="","",INDEX(Leases!$Z$5:$Z$34,$X70)),IF($W70="V","",""))</f>
        <v/>
      </c>
      <c r="K70" s="19" t="str">
        <f>IF($W70="L",IF(INDEX(Leases!$Y$5:$Y$34,$X70)="","",INDEX(Leases!$Y$5:$Y$34,$X70)),IF($W70="V","",""))</f>
        <v/>
      </c>
      <c r="L70" s="19" t="str">
        <f>IF($W70="L",IF(INDEX(Leases!$M$5:$M$34,$X70)="","",INDEX(Leases!$M$5:$M$34,$X70)),IF($W70="V","",""))</f>
        <v/>
      </c>
      <c r="M70" s="18" t="str">
        <f>IF($W70="L",IF(INDEX(Leases!$AA$5:$AA$34,$X70)="","",INDEX(Leases!$AA$5:$AA$34,$X70)),IF($W70="V","",""))</f>
        <v/>
      </c>
      <c r="N70" s="19" t="str">
        <f>IF($W70="L",IF(INDEX(Leases!$AB$5:$AB$34,$X70)="","",INDEX(Leases!$AB$5:$AB$34,$X70)),IF($W70="V","",""))</f>
        <v/>
      </c>
      <c r="O70" s="20" t="str">
        <f>IF($W70="L",IF(INDEX(Leases!$AD$5:$AD$34,$X70)=1,INDEX(Leases!$J$5:$J$34,$X70),""),IF($W70="V","",""))</f>
        <v/>
      </c>
      <c r="P70" s="18" t="str">
        <f>IF($W70="L",IF(INDEX(Leases!$AD$5:$AD$34,$X70)=1,INDEX(Leases!$L$5:$L$34,$X70),""),IF($W70="V","",""))</f>
        <v/>
      </c>
      <c r="Q70" s="19" t="str">
        <f>IF($W70="L",INDEX(Leases!$AE$5:$AE$34,$X70),IF($W70="V","",""))</f>
        <v/>
      </c>
      <c r="R70" s="19" t="str">
        <f>IF($W70="L",INDEX(Leases!$AF$5:$AF$34,$X70),IF($W70="V","",""))</f>
        <v/>
      </c>
      <c r="S70" s="19" t="str">
        <f>IF($W70="L",IF(INDEX(Leases!$AH$5:$AH$34,$X70)="","",INDEX(Leases!$AH$5:$AH$34,$X70)),IF($W70="V","",""))</f>
        <v/>
      </c>
      <c r="T70" s="16" t="str">
        <f>IF($W70="L",TRIM(IF(INDEX(Leases!$AJ$5:$AJ$34,$X70)=1,"Awaiting index: not in rent totals. ","")&amp;IF(INDEX(Leases!$AC$5:$AC$34,$X70)=1,"Rent not started. ","")&amp;IF(INDEX(Leases!$AD$5:$AD$34,$X70)=1,"Abated on the date. ","")&amp;IF(INDEX(Leases!$AG$5:$AG$34,$X70)=1,"Letter of credit expired. ","")),IF($W70="V",IF(INDEX(Units!$H$5:$H$54,$X70)&lt;&gt;"","Vacant. A signed lease starts on the Lease start date.","Vacant."),""))</f>
        <v/>
      </c>
      <c r="U70" s="16" t="str">
        <f>IF($W70="L",IF(INDEX(Leases!$R$5:$R$34,$X70)="","",INDEX(Leases!$R$5:$R$34,$X70)),IF($W70="V",IF(INDEX(Units!$D$5:$D$54,$X70)="","",INDEX(Units!$D$5:$D$54,$X70)),""))</f>
        <v/>
      </c>
      <c r="W70" s="15" t="str">
        <f>IF((ROW()-ROW($A$9))&lt;=$W$7,"L",IF((ROW()-ROW($A$9))&lt;=$W$7+$X$7,"V",""))</f>
        <v/>
      </c>
      <c r="X70" s="15" t="str">
        <f>IF(W70="L",MATCH((ROW()-ROW($A$9)),Leases!$AQ$5:$AQ$34,0),IF(W70="V",MATCH((ROW()-ROW($A$9))-$W$7,Units!$J$5:$J$54,0),""))</f>
        <v/>
      </c>
      <c r="Y70" s="15">
        <f>IF(W70="L",INDEX(Leases!$AI$5:$AI$34,$X70),0)</f>
        <v>0</v>
      </c>
    </row>
    <row r="71">
      <c r="A71" s="15" t="str">
        <f>IF($W71="","",(ROW()-ROW($A$9)))</f>
        <v/>
      </c>
      <c r="B71" s="16" t="str">
        <f>IF($W71="L",IF(INDEX(Leases!$A$5:$A$34,$X71)="","",INDEX(Leases!$A$5:$A$34,$X71)),IF($W71="V","Vacant",""))</f>
        <v/>
      </c>
      <c r="C71" s="16" t="str">
        <f>IF($W71="L",IF(INDEX(Leases!$V$5:$V$34,$X71)="","",INDEX(Leases!$V$5:$V$34,$X71)),IF($W71="V",IF(INDEX(Units!$A$5:$A$54,$X71)="","",INDEX(Units!$A$5:$A$54,$X71)),""))</f>
        <v/>
      </c>
      <c r="D71" s="16" t="str">
        <f>IF($W71="L",IF(INDEX(Leases!$B$5:$B$34,$X71)="","",INDEX(Leases!$B$5:$B$34,$X71)),IF($W71="V","",""))</f>
        <v/>
      </c>
      <c r="E71" s="17" t="str">
        <f>IF($W71="L",INDEX(Leases!$W$5:$W$34,$X71),IF($W71="V",IF(INDEX(Units!$B$5:$B$54,$X71)="","",INDEX(Units!$B$5:$B$54,$X71)),""))</f>
        <v/>
      </c>
      <c r="F71" s="18" t="str">
        <f>IF($W71="L",IF(INDEX(Leases!$C$5:$C$34,$X71)="","",INDEX(Leases!$C$5:$C$34,$X71)),IF($W71="V",IF(INDEX(Units!$H$5:$H$54,$X71)="","",INDEX(Units!$H$5:$H$54,$X71)),""))</f>
        <v/>
      </c>
      <c r="G71" s="18" t="str">
        <f>IF($W71="L",IF(INDEX(Leases!$D$5:$D$34,$X71)="","No end date",INDEX(Leases!$D$5:$D$34,$X71)),IF($W71="V","",""))</f>
        <v/>
      </c>
      <c r="H71" s="18" t="str">
        <f>IF($W71="L",IF(INDEX(Leases!$E$5:$E$34,$X71)="","",INDEX(Leases!$E$5:$E$34,$X71)),IF($W71="V","",""))</f>
        <v/>
      </c>
      <c r="I71" s="19" t="str">
        <f>IF($W71="L",IF(INDEX(Leases!$X$5:$X$34,$X71)="","",INDEX(Leases!$X$5:$X$34,$X71)),IF($W71="V","",""))</f>
        <v/>
      </c>
      <c r="J71" s="19" t="str">
        <f>IF($W71="L",IF(INDEX(Leases!$Z$5:$Z$34,$X71)="","",INDEX(Leases!$Z$5:$Z$34,$X71)),IF($W71="V","",""))</f>
        <v/>
      </c>
      <c r="K71" s="19" t="str">
        <f>IF($W71="L",IF(INDEX(Leases!$Y$5:$Y$34,$X71)="","",INDEX(Leases!$Y$5:$Y$34,$X71)),IF($W71="V","",""))</f>
        <v/>
      </c>
      <c r="L71" s="19" t="str">
        <f>IF($W71="L",IF(INDEX(Leases!$M$5:$M$34,$X71)="","",INDEX(Leases!$M$5:$M$34,$X71)),IF($W71="V","",""))</f>
        <v/>
      </c>
      <c r="M71" s="18" t="str">
        <f>IF($W71="L",IF(INDEX(Leases!$AA$5:$AA$34,$X71)="","",INDEX(Leases!$AA$5:$AA$34,$X71)),IF($W71="V","",""))</f>
        <v/>
      </c>
      <c r="N71" s="19" t="str">
        <f>IF($W71="L",IF(INDEX(Leases!$AB$5:$AB$34,$X71)="","",INDEX(Leases!$AB$5:$AB$34,$X71)),IF($W71="V","",""))</f>
        <v/>
      </c>
      <c r="O71" s="20" t="str">
        <f>IF($W71="L",IF(INDEX(Leases!$AD$5:$AD$34,$X71)=1,INDEX(Leases!$J$5:$J$34,$X71),""),IF($W71="V","",""))</f>
        <v/>
      </c>
      <c r="P71" s="18" t="str">
        <f>IF($W71="L",IF(INDEX(Leases!$AD$5:$AD$34,$X71)=1,INDEX(Leases!$L$5:$L$34,$X71),""),IF($W71="V","",""))</f>
        <v/>
      </c>
      <c r="Q71" s="19" t="str">
        <f>IF($W71="L",INDEX(Leases!$AE$5:$AE$34,$X71),IF($W71="V","",""))</f>
        <v/>
      </c>
      <c r="R71" s="19" t="str">
        <f>IF($W71="L",INDEX(Leases!$AF$5:$AF$34,$X71),IF($W71="V","",""))</f>
        <v/>
      </c>
      <c r="S71" s="19" t="str">
        <f>IF($W71="L",IF(INDEX(Leases!$AH$5:$AH$34,$X71)="","",INDEX(Leases!$AH$5:$AH$34,$X71)),IF($W71="V","",""))</f>
        <v/>
      </c>
      <c r="T71" s="16" t="str">
        <f>IF($W71="L",TRIM(IF(INDEX(Leases!$AJ$5:$AJ$34,$X71)=1,"Awaiting index: not in rent totals. ","")&amp;IF(INDEX(Leases!$AC$5:$AC$34,$X71)=1,"Rent not started. ","")&amp;IF(INDEX(Leases!$AD$5:$AD$34,$X71)=1,"Abated on the date. ","")&amp;IF(INDEX(Leases!$AG$5:$AG$34,$X71)=1,"Letter of credit expired. ","")),IF($W71="V",IF(INDEX(Units!$H$5:$H$54,$X71)&lt;&gt;"","Vacant. A signed lease starts on the Lease start date.","Vacant."),""))</f>
        <v/>
      </c>
      <c r="U71" s="16" t="str">
        <f>IF($W71="L",IF(INDEX(Leases!$R$5:$R$34,$X71)="","",INDEX(Leases!$R$5:$R$34,$X71)),IF($W71="V",IF(INDEX(Units!$D$5:$D$54,$X71)="","",INDEX(Units!$D$5:$D$54,$X71)),""))</f>
        <v/>
      </c>
      <c r="W71" s="15" t="str">
        <f>IF((ROW()-ROW($A$9))&lt;=$W$7,"L",IF((ROW()-ROW($A$9))&lt;=$W$7+$X$7,"V",""))</f>
        <v/>
      </c>
      <c r="X71" s="15" t="str">
        <f>IF(W71="L",MATCH((ROW()-ROW($A$9)),Leases!$AQ$5:$AQ$34,0),IF(W71="V",MATCH((ROW()-ROW($A$9))-$W$7,Units!$J$5:$J$54,0),""))</f>
        <v/>
      </c>
      <c r="Y71" s="15">
        <f>IF(W71="L",INDEX(Leases!$AI$5:$AI$34,$X71),0)</f>
        <v>0</v>
      </c>
    </row>
    <row r="72">
      <c r="A72" s="15" t="str">
        <f>IF($W72="","",(ROW()-ROW($A$9)))</f>
        <v/>
      </c>
      <c r="B72" s="16" t="str">
        <f>IF($W72="L",IF(INDEX(Leases!$A$5:$A$34,$X72)="","",INDEX(Leases!$A$5:$A$34,$X72)),IF($W72="V","Vacant",""))</f>
        <v/>
      </c>
      <c r="C72" s="16" t="str">
        <f>IF($W72="L",IF(INDEX(Leases!$V$5:$V$34,$X72)="","",INDEX(Leases!$V$5:$V$34,$X72)),IF($W72="V",IF(INDEX(Units!$A$5:$A$54,$X72)="","",INDEX(Units!$A$5:$A$54,$X72)),""))</f>
        <v/>
      </c>
      <c r="D72" s="16" t="str">
        <f>IF($W72="L",IF(INDEX(Leases!$B$5:$B$34,$X72)="","",INDEX(Leases!$B$5:$B$34,$X72)),IF($W72="V","",""))</f>
        <v/>
      </c>
      <c r="E72" s="17" t="str">
        <f>IF($W72="L",INDEX(Leases!$W$5:$W$34,$X72),IF($W72="V",IF(INDEX(Units!$B$5:$B$54,$X72)="","",INDEX(Units!$B$5:$B$54,$X72)),""))</f>
        <v/>
      </c>
      <c r="F72" s="18" t="str">
        <f>IF($W72="L",IF(INDEX(Leases!$C$5:$C$34,$X72)="","",INDEX(Leases!$C$5:$C$34,$X72)),IF($W72="V",IF(INDEX(Units!$H$5:$H$54,$X72)="","",INDEX(Units!$H$5:$H$54,$X72)),""))</f>
        <v/>
      </c>
      <c r="G72" s="18" t="str">
        <f>IF($W72="L",IF(INDEX(Leases!$D$5:$D$34,$X72)="","No end date",INDEX(Leases!$D$5:$D$34,$X72)),IF($W72="V","",""))</f>
        <v/>
      </c>
      <c r="H72" s="18" t="str">
        <f>IF($W72="L",IF(INDEX(Leases!$E$5:$E$34,$X72)="","",INDEX(Leases!$E$5:$E$34,$X72)),IF($W72="V","",""))</f>
        <v/>
      </c>
      <c r="I72" s="19" t="str">
        <f>IF($W72="L",IF(INDEX(Leases!$X$5:$X$34,$X72)="","",INDEX(Leases!$X$5:$X$34,$X72)),IF($W72="V","",""))</f>
        <v/>
      </c>
      <c r="J72" s="19" t="str">
        <f>IF($W72="L",IF(INDEX(Leases!$Z$5:$Z$34,$X72)="","",INDEX(Leases!$Z$5:$Z$34,$X72)),IF($W72="V","",""))</f>
        <v/>
      </c>
      <c r="K72" s="19" t="str">
        <f>IF($W72="L",IF(INDEX(Leases!$Y$5:$Y$34,$X72)="","",INDEX(Leases!$Y$5:$Y$34,$X72)),IF($W72="V","",""))</f>
        <v/>
      </c>
      <c r="L72" s="19" t="str">
        <f>IF($W72="L",IF(INDEX(Leases!$M$5:$M$34,$X72)="","",INDEX(Leases!$M$5:$M$34,$X72)),IF($W72="V","",""))</f>
        <v/>
      </c>
      <c r="M72" s="18" t="str">
        <f>IF($W72="L",IF(INDEX(Leases!$AA$5:$AA$34,$X72)="","",INDEX(Leases!$AA$5:$AA$34,$X72)),IF($W72="V","",""))</f>
        <v/>
      </c>
      <c r="N72" s="19" t="str">
        <f>IF($W72="L",IF(INDEX(Leases!$AB$5:$AB$34,$X72)="","",INDEX(Leases!$AB$5:$AB$34,$X72)),IF($W72="V","",""))</f>
        <v/>
      </c>
      <c r="O72" s="20" t="str">
        <f>IF($W72="L",IF(INDEX(Leases!$AD$5:$AD$34,$X72)=1,INDEX(Leases!$J$5:$J$34,$X72),""),IF($W72="V","",""))</f>
        <v/>
      </c>
      <c r="P72" s="18" t="str">
        <f>IF($W72="L",IF(INDEX(Leases!$AD$5:$AD$34,$X72)=1,INDEX(Leases!$L$5:$L$34,$X72),""),IF($W72="V","",""))</f>
        <v/>
      </c>
      <c r="Q72" s="19" t="str">
        <f>IF($W72="L",INDEX(Leases!$AE$5:$AE$34,$X72),IF($W72="V","",""))</f>
        <v/>
      </c>
      <c r="R72" s="19" t="str">
        <f>IF($W72="L",INDEX(Leases!$AF$5:$AF$34,$X72),IF($W72="V","",""))</f>
        <v/>
      </c>
      <c r="S72" s="19" t="str">
        <f>IF($W72="L",IF(INDEX(Leases!$AH$5:$AH$34,$X72)="","",INDEX(Leases!$AH$5:$AH$34,$X72)),IF($W72="V","",""))</f>
        <v/>
      </c>
      <c r="T72" s="16" t="str">
        <f>IF($W72="L",TRIM(IF(INDEX(Leases!$AJ$5:$AJ$34,$X72)=1,"Awaiting index: not in rent totals. ","")&amp;IF(INDEX(Leases!$AC$5:$AC$34,$X72)=1,"Rent not started. ","")&amp;IF(INDEX(Leases!$AD$5:$AD$34,$X72)=1,"Abated on the date. ","")&amp;IF(INDEX(Leases!$AG$5:$AG$34,$X72)=1,"Letter of credit expired. ","")),IF($W72="V",IF(INDEX(Units!$H$5:$H$54,$X72)&lt;&gt;"","Vacant. A signed lease starts on the Lease start date.","Vacant."),""))</f>
        <v/>
      </c>
      <c r="U72" s="16" t="str">
        <f>IF($W72="L",IF(INDEX(Leases!$R$5:$R$34,$X72)="","",INDEX(Leases!$R$5:$R$34,$X72)),IF($W72="V",IF(INDEX(Units!$D$5:$D$54,$X72)="","",INDEX(Units!$D$5:$D$54,$X72)),""))</f>
        <v/>
      </c>
      <c r="W72" s="15" t="str">
        <f>IF((ROW()-ROW($A$9))&lt;=$W$7,"L",IF((ROW()-ROW($A$9))&lt;=$W$7+$X$7,"V",""))</f>
        <v/>
      </c>
      <c r="X72" s="15" t="str">
        <f>IF(W72="L",MATCH((ROW()-ROW($A$9)),Leases!$AQ$5:$AQ$34,0),IF(W72="V",MATCH((ROW()-ROW($A$9))-$W$7,Units!$J$5:$J$54,0),""))</f>
        <v/>
      </c>
      <c r="Y72" s="15">
        <f>IF(W72="L",INDEX(Leases!$AI$5:$AI$34,$X72),0)</f>
        <v>0</v>
      </c>
    </row>
    <row r="73">
      <c r="A73" s="15" t="str">
        <f>IF($W73="","",(ROW()-ROW($A$9)))</f>
        <v/>
      </c>
      <c r="B73" s="16" t="str">
        <f>IF($W73="L",IF(INDEX(Leases!$A$5:$A$34,$X73)="","",INDEX(Leases!$A$5:$A$34,$X73)),IF($W73="V","Vacant",""))</f>
        <v/>
      </c>
      <c r="C73" s="16" t="str">
        <f>IF($W73="L",IF(INDEX(Leases!$V$5:$V$34,$X73)="","",INDEX(Leases!$V$5:$V$34,$X73)),IF($W73="V",IF(INDEX(Units!$A$5:$A$54,$X73)="","",INDEX(Units!$A$5:$A$54,$X73)),""))</f>
        <v/>
      </c>
      <c r="D73" s="16" t="str">
        <f>IF($W73="L",IF(INDEX(Leases!$B$5:$B$34,$X73)="","",INDEX(Leases!$B$5:$B$34,$X73)),IF($W73="V","",""))</f>
        <v/>
      </c>
      <c r="E73" s="17" t="str">
        <f>IF($W73="L",INDEX(Leases!$W$5:$W$34,$X73),IF($W73="V",IF(INDEX(Units!$B$5:$B$54,$X73)="","",INDEX(Units!$B$5:$B$54,$X73)),""))</f>
        <v/>
      </c>
      <c r="F73" s="18" t="str">
        <f>IF($W73="L",IF(INDEX(Leases!$C$5:$C$34,$X73)="","",INDEX(Leases!$C$5:$C$34,$X73)),IF($W73="V",IF(INDEX(Units!$H$5:$H$54,$X73)="","",INDEX(Units!$H$5:$H$54,$X73)),""))</f>
        <v/>
      </c>
      <c r="G73" s="18" t="str">
        <f>IF($W73="L",IF(INDEX(Leases!$D$5:$D$34,$X73)="","No end date",INDEX(Leases!$D$5:$D$34,$X73)),IF($W73="V","",""))</f>
        <v/>
      </c>
      <c r="H73" s="18" t="str">
        <f>IF($W73="L",IF(INDEX(Leases!$E$5:$E$34,$X73)="","",INDEX(Leases!$E$5:$E$34,$X73)),IF($W73="V","",""))</f>
        <v/>
      </c>
      <c r="I73" s="19" t="str">
        <f>IF($W73="L",IF(INDEX(Leases!$X$5:$X$34,$X73)="","",INDEX(Leases!$X$5:$X$34,$X73)),IF($W73="V","",""))</f>
        <v/>
      </c>
      <c r="J73" s="19" t="str">
        <f>IF($W73="L",IF(INDEX(Leases!$Z$5:$Z$34,$X73)="","",INDEX(Leases!$Z$5:$Z$34,$X73)),IF($W73="V","",""))</f>
        <v/>
      </c>
      <c r="K73" s="19" t="str">
        <f>IF($W73="L",IF(INDEX(Leases!$Y$5:$Y$34,$X73)="","",INDEX(Leases!$Y$5:$Y$34,$X73)),IF($W73="V","",""))</f>
        <v/>
      </c>
      <c r="L73" s="19" t="str">
        <f>IF($W73="L",IF(INDEX(Leases!$M$5:$M$34,$X73)="","",INDEX(Leases!$M$5:$M$34,$X73)),IF($W73="V","",""))</f>
        <v/>
      </c>
      <c r="M73" s="18" t="str">
        <f>IF($W73="L",IF(INDEX(Leases!$AA$5:$AA$34,$X73)="","",INDEX(Leases!$AA$5:$AA$34,$X73)),IF($W73="V","",""))</f>
        <v/>
      </c>
      <c r="N73" s="19" t="str">
        <f>IF($W73="L",IF(INDEX(Leases!$AB$5:$AB$34,$X73)="","",INDEX(Leases!$AB$5:$AB$34,$X73)),IF($W73="V","",""))</f>
        <v/>
      </c>
      <c r="O73" s="20" t="str">
        <f>IF($W73="L",IF(INDEX(Leases!$AD$5:$AD$34,$X73)=1,INDEX(Leases!$J$5:$J$34,$X73),""),IF($W73="V","",""))</f>
        <v/>
      </c>
      <c r="P73" s="18" t="str">
        <f>IF($W73="L",IF(INDEX(Leases!$AD$5:$AD$34,$X73)=1,INDEX(Leases!$L$5:$L$34,$X73),""),IF($W73="V","",""))</f>
        <v/>
      </c>
      <c r="Q73" s="19" t="str">
        <f>IF($W73="L",INDEX(Leases!$AE$5:$AE$34,$X73),IF($W73="V","",""))</f>
        <v/>
      </c>
      <c r="R73" s="19" t="str">
        <f>IF($W73="L",INDEX(Leases!$AF$5:$AF$34,$X73),IF($W73="V","",""))</f>
        <v/>
      </c>
      <c r="S73" s="19" t="str">
        <f>IF($W73="L",IF(INDEX(Leases!$AH$5:$AH$34,$X73)="","",INDEX(Leases!$AH$5:$AH$34,$X73)),IF($W73="V","",""))</f>
        <v/>
      </c>
      <c r="T73" s="16" t="str">
        <f>IF($W73="L",TRIM(IF(INDEX(Leases!$AJ$5:$AJ$34,$X73)=1,"Awaiting index: not in rent totals. ","")&amp;IF(INDEX(Leases!$AC$5:$AC$34,$X73)=1,"Rent not started. ","")&amp;IF(INDEX(Leases!$AD$5:$AD$34,$X73)=1,"Abated on the date. ","")&amp;IF(INDEX(Leases!$AG$5:$AG$34,$X73)=1,"Letter of credit expired. ","")),IF($W73="V",IF(INDEX(Units!$H$5:$H$54,$X73)&lt;&gt;"","Vacant. A signed lease starts on the Lease start date.","Vacant."),""))</f>
        <v/>
      </c>
      <c r="U73" s="16" t="str">
        <f>IF($W73="L",IF(INDEX(Leases!$R$5:$R$34,$X73)="","",INDEX(Leases!$R$5:$R$34,$X73)),IF($W73="V",IF(INDEX(Units!$D$5:$D$54,$X73)="","",INDEX(Units!$D$5:$D$54,$X73)),""))</f>
        <v/>
      </c>
      <c r="W73" s="15" t="str">
        <f>IF((ROW()-ROW($A$9))&lt;=$W$7,"L",IF((ROW()-ROW($A$9))&lt;=$W$7+$X$7,"V",""))</f>
        <v/>
      </c>
      <c r="X73" s="15" t="str">
        <f>IF(W73="L",MATCH((ROW()-ROW($A$9)),Leases!$AQ$5:$AQ$34,0),IF(W73="V",MATCH((ROW()-ROW($A$9))-$W$7,Units!$J$5:$J$54,0),""))</f>
        <v/>
      </c>
      <c r="Y73" s="15">
        <f>IF(W73="L",INDEX(Leases!$AI$5:$AI$34,$X73),0)</f>
        <v>0</v>
      </c>
    </row>
    <row r="74">
      <c r="A74" s="15" t="str">
        <f>IF($W74="","",(ROW()-ROW($A$9)))</f>
        <v/>
      </c>
      <c r="B74" s="16" t="str">
        <f>IF($W74="L",IF(INDEX(Leases!$A$5:$A$34,$X74)="","",INDEX(Leases!$A$5:$A$34,$X74)),IF($W74="V","Vacant",""))</f>
        <v/>
      </c>
      <c r="C74" s="16" t="str">
        <f>IF($W74="L",IF(INDEX(Leases!$V$5:$V$34,$X74)="","",INDEX(Leases!$V$5:$V$34,$X74)),IF($W74="V",IF(INDEX(Units!$A$5:$A$54,$X74)="","",INDEX(Units!$A$5:$A$54,$X74)),""))</f>
        <v/>
      </c>
      <c r="D74" s="16" t="str">
        <f>IF($W74="L",IF(INDEX(Leases!$B$5:$B$34,$X74)="","",INDEX(Leases!$B$5:$B$34,$X74)),IF($W74="V","",""))</f>
        <v/>
      </c>
      <c r="E74" s="17" t="str">
        <f>IF($W74="L",INDEX(Leases!$W$5:$W$34,$X74),IF($W74="V",IF(INDEX(Units!$B$5:$B$54,$X74)="","",INDEX(Units!$B$5:$B$54,$X74)),""))</f>
        <v/>
      </c>
      <c r="F74" s="18" t="str">
        <f>IF($W74="L",IF(INDEX(Leases!$C$5:$C$34,$X74)="","",INDEX(Leases!$C$5:$C$34,$X74)),IF($W74="V",IF(INDEX(Units!$H$5:$H$54,$X74)="","",INDEX(Units!$H$5:$H$54,$X74)),""))</f>
        <v/>
      </c>
      <c r="G74" s="18" t="str">
        <f>IF($W74="L",IF(INDEX(Leases!$D$5:$D$34,$X74)="","No end date",INDEX(Leases!$D$5:$D$34,$X74)),IF($W74="V","",""))</f>
        <v/>
      </c>
      <c r="H74" s="18" t="str">
        <f>IF($W74="L",IF(INDEX(Leases!$E$5:$E$34,$X74)="","",INDEX(Leases!$E$5:$E$34,$X74)),IF($W74="V","",""))</f>
        <v/>
      </c>
      <c r="I74" s="19" t="str">
        <f>IF($W74="L",IF(INDEX(Leases!$X$5:$X$34,$X74)="","",INDEX(Leases!$X$5:$X$34,$X74)),IF($W74="V","",""))</f>
        <v/>
      </c>
      <c r="J74" s="19" t="str">
        <f>IF($W74="L",IF(INDEX(Leases!$Z$5:$Z$34,$X74)="","",INDEX(Leases!$Z$5:$Z$34,$X74)),IF($W74="V","",""))</f>
        <v/>
      </c>
      <c r="K74" s="19" t="str">
        <f>IF($W74="L",IF(INDEX(Leases!$Y$5:$Y$34,$X74)="","",INDEX(Leases!$Y$5:$Y$34,$X74)),IF($W74="V","",""))</f>
        <v/>
      </c>
      <c r="L74" s="19" t="str">
        <f>IF($W74="L",IF(INDEX(Leases!$M$5:$M$34,$X74)="","",INDEX(Leases!$M$5:$M$34,$X74)),IF($W74="V","",""))</f>
        <v/>
      </c>
      <c r="M74" s="18" t="str">
        <f>IF($W74="L",IF(INDEX(Leases!$AA$5:$AA$34,$X74)="","",INDEX(Leases!$AA$5:$AA$34,$X74)),IF($W74="V","",""))</f>
        <v/>
      </c>
      <c r="N74" s="19" t="str">
        <f>IF($W74="L",IF(INDEX(Leases!$AB$5:$AB$34,$X74)="","",INDEX(Leases!$AB$5:$AB$34,$X74)),IF($W74="V","",""))</f>
        <v/>
      </c>
      <c r="O74" s="20" t="str">
        <f>IF($W74="L",IF(INDEX(Leases!$AD$5:$AD$34,$X74)=1,INDEX(Leases!$J$5:$J$34,$X74),""),IF($W74="V","",""))</f>
        <v/>
      </c>
      <c r="P74" s="18" t="str">
        <f>IF($W74="L",IF(INDEX(Leases!$AD$5:$AD$34,$X74)=1,INDEX(Leases!$L$5:$L$34,$X74),""),IF($W74="V","",""))</f>
        <v/>
      </c>
      <c r="Q74" s="19" t="str">
        <f>IF($W74="L",INDEX(Leases!$AE$5:$AE$34,$X74),IF($W74="V","",""))</f>
        <v/>
      </c>
      <c r="R74" s="19" t="str">
        <f>IF($W74="L",INDEX(Leases!$AF$5:$AF$34,$X74),IF($W74="V","",""))</f>
        <v/>
      </c>
      <c r="S74" s="19" t="str">
        <f>IF($W74="L",IF(INDEX(Leases!$AH$5:$AH$34,$X74)="","",INDEX(Leases!$AH$5:$AH$34,$X74)),IF($W74="V","",""))</f>
        <v/>
      </c>
      <c r="T74" s="16" t="str">
        <f>IF($W74="L",TRIM(IF(INDEX(Leases!$AJ$5:$AJ$34,$X74)=1,"Awaiting index: not in rent totals. ","")&amp;IF(INDEX(Leases!$AC$5:$AC$34,$X74)=1,"Rent not started. ","")&amp;IF(INDEX(Leases!$AD$5:$AD$34,$X74)=1,"Abated on the date. ","")&amp;IF(INDEX(Leases!$AG$5:$AG$34,$X74)=1,"Letter of credit expired. ","")),IF($W74="V",IF(INDEX(Units!$H$5:$H$54,$X74)&lt;&gt;"","Vacant. A signed lease starts on the Lease start date.","Vacant."),""))</f>
        <v/>
      </c>
      <c r="U74" s="16" t="str">
        <f>IF($W74="L",IF(INDEX(Leases!$R$5:$R$34,$X74)="","",INDEX(Leases!$R$5:$R$34,$X74)),IF($W74="V",IF(INDEX(Units!$D$5:$D$54,$X74)="","",INDEX(Units!$D$5:$D$54,$X74)),""))</f>
        <v/>
      </c>
      <c r="W74" s="15" t="str">
        <f>IF((ROW()-ROW($A$9))&lt;=$W$7,"L",IF((ROW()-ROW($A$9))&lt;=$W$7+$X$7,"V",""))</f>
        <v/>
      </c>
      <c r="X74" s="15" t="str">
        <f>IF(W74="L",MATCH((ROW()-ROW($A$9)),Leases!$AQ$5:$AQ$34,0),IF(W74="V",MATCH((ROW()-ROW($A$9))-$W$7,Units!$J$5:$J$54,0),""))</f>
        <v/>
      </c>
      <c r="Y74" s="15">
        <f>IF(W74="L",INDEX(Leases!$AI$5:$AI$34,$X74),0)</f>
        <v>0</v>
      </c>
    </row>
    <row r="75">
      <c r="A75" s="15" t="str">
        <f>IF($W75="","",(ROW()-ROW($A$9)))</f>
        <v/>
      </c>
      <c r="B75" s="16" t="str">
        <f>IF($W75="L",IF(INDEX(Leases!$A$5:$A$34,$X75)="","",INDEX(Leases!$A$5:$A$34,$X75)),IF($W75="V","Vacant",""))</f>
        <v/>
      </c>
      <c r="C75" s="16" t="str">
        <f>IF($W75="L",IF(INDEX(Leases!$V$5:$V$34,$X75)="","",INDEX(Leases!$V$5:$V$34,$X75)),IF($W75="V",IF(INDEX(Units!$A$5:$A$54,$X75)="","",INDEX(Units!$A$5:$A$54,$X75)),""))</f>
        <v/>
      </c>
      <c r="D75" s="16" t="str">
        <f>IF($W75="L",IF(INDEX(Leases!$B$5:$B$34,$X75)="","",INDEX(Leases!$B$5:$B$34,$X75)),IF($W75="V","",""))</f>
        <v/>
      </c>
      <c r="E75" s="17" t="str">
        <f>IF($W75="L",INDEX(Leases!$W$5:$W$34,$X75),IF($W75="V",IF(INDEX(Units!$B$5:$B$54,$X75)="","",INDEX(Units!$B$5:$B$54,$X75)),""))</f>
        <v/>
      </c>
      <c r="F75" s="18" t="str">
        <f>IF($W75="L",IF(INDEX(Leases!$C$5:$C$34,$X75)="","",INDEX(Leases!$C$5:$C$34,$X75)),IF($W75="V",IF(INDEX(Units!$H$5:$H$54,$X75)="","",INDEX(Units!$H$5:$H$54,$X75)),""))</f>
        <v/>
      </c>
      <c r="G75" s="18" t="str">
        <f>IF($W75="L",IF(INDEX(Leases!$D$5:$D$34,$X75)="","No end date",INDEX(Leases!$D$5:$D$34,$X75)),IF($W75="V","",""))</f>
        <v/>
      </c>
      <c r="H75" s="18" t="str">
        <f>IF($W75="L",IF(INDEX(Leases!$E$5:$E$34,$X75)="","",INDEX(Leases!$E$5:$E$34,$X75)),IF($W75="V","",""))</f>
        <v/>
      </c>
      <c r="I75" s="19" t="str">
        <f>IF($W75="L",IF(INDEX(Leases!$X$5:$X$34,$X75)="","",INDEX(Leases!$X$5:$X$34,$X75)),IF($W75="V","",""))</f>
        <v/>
      </c>
      <c r="J75" s="19" t="str">
        <f>IF($W75="L",IF(INDEX(Leases!$Z$5:$Z$34,$X75)="","",INDEX(Leases!$Z$5:$Z$34,$X75)),IF($W75="V","",""))</f>
        <v/>
      </c>
      <c r="K75" s="19" t="str">
        <f>IF($W75="L",IF(INDEX(Leases!$Y$5:$Y$34,$X75)="","",INDEX(Leases!$Y$5:$Y$34,$X75)),IF($W75="V","",""))</f>
        <v/>
      </c>
      <c r="L75" s="19" t="str">
        <f>IF($W75="L",IF(INDEX(Leases!$M$5:$M$34,$X75)="","",INDEX(Leases!$M$5:$M$34,$X75)),IF($W75="V","",""))</f>
        <v/>
      </c>
      <c r="M75" s="18" t="str">
        <f>IF($W75="L",IF(INDEX(Leases!$AA$5:$AA$34,$X75)="","",INDEX(Leases!$AA$5:$AA$34,$X75)),IF($W75="V","",""))</f>
        <v/>
      </c>
      <c r="N75" s="19" t="str">
        <f>IF($W75="L",IF(INDEX(Leases!$AB$5:$AB$34,$X75)="","",INDEX(Leases!$AB$5:$AB$34,$X75)),IF($W75="V","",""))</f>
        <v/>
      </c>
      <c r="O75" s="20" t="str">
        <f>IF($W75="L",IF(INDEX(Leases!$AD$5:$AD$34,$X75)=1,INDEX(Leases!$J$5:$J$34,$X75),""),IF($W75="V","",""))</f>
        <v/>
      </c>
      <c r="P75" s="18" t="str">
        <f>IF($W75="L",IF(INDEX(Leases!$AD$5:$AD$34,$X75)=1,INDEX(Leases!$L$5:$L$34,$X75),""),IF($W75="V","",""))</f>
        <v/>
      </c>
      <c r="Q75" s="19" t="str">
        <f>IF($W75="L",INDEX(Leases!$AE$5:$AE$34,$X75),IF($W75="V","",""))</f>
        <v/>
      </c>
      <c r="R75" s="19" t="str">
        <f>IF($W75="L",INDEX(Leases!$AF$5:$AF$34,$X75),IF($W75="V","",""))</f>
        <v/>
      </c>
      <c r="S75" s="19" t="str">
        <f>IF($W75="L",IF(INDEX(Leases!$AH$5:$AH$34,$X75)="","",INDEX(Leases!$AH$5:$AH$34,$X75)),IF($W75="V","",""))</f>
        <v/>
      </c>
      <c r="T75" s="16" t="str">
        <f>IF($W75="L",TRIM(IF(INDEX(Leases!$AJ$5:$AJ$34,$X75)=1,"Awaiting index: not in rent totals. ","")&amp;IF(INDEX(Leases!$AC$5:$AC$34,$X75)=1,"Rent not started. ","")&amp;IF(INDEX(Leases!$AD$5:$AD$34,$X75)=1,"Abated on the date. ","")&amp;IF(INDEX(Leases!$AG$5:$AG$34,$X75)=1,"Letter of credit expired. ","")),IF($W75="V",IF(INDEX(Units!$H$5:$H$54,$X75)&lt;&gt;"","Vacant. A signed lease starts on the Lease start date.","Vacant."),""))</f>
        <v/>
      </c>
      <c r="U75" s="16" t="str">
        <f>IF($W75="L",IF(INDEX(Leases!$R$5:$R$34,$X75)="","",INDEX(Leases!$R$5:$R$34,$X75)),IF($W75="V",IF(INDEX(Units!$D$5:$D$54,$X75)="","",INDEX(Units!$D$5:$D$54,$X75)),""))</f>
        <v/>
      </c>
      <c r="W75" s="15" t="str">
        <f>IF((ROW()-ROW($A$9))&lt;=$W$7,"L",IF((ROW()-ROW($A$9))&lt;=$W$7+$X$7,"V",""))</f>
        <v/>
      </c>
      <c r="X75" s="15" t="str">
        <f>IF(W75="L",MATCH((ROW()-ROW($A$9)),Leases!$AQ$5:$AQ$34,0),IF(W75="V",MATCH((ROW()-ROW($A$9))-$W$7,Units!$J$5:$J$54,0),""))</f>
        <v/>
      </c>
      <c r="Y75" s="15">
        <f>IF(W75="L",INDEX(Leases!$AI$5:$AI$34,$X75),0)</f>
        <v>0</v>
      </c>
    </row>
    <row r="76">
      <c r="A76" s="15" t="str">
        <f>IF($W76="","",(ROW()-ROW($A$9)))</f>
        <v/>
      </c>
      <c r="B76" s="16" t="str">
        <f>IF($W76="L",IF(INDEX(Leases!$A$5:$A$34,$X76)="","",INDEX(Leases!$A$5:$A$34,$X76)),IF($W76="V","Vacant",""))</f>
        <v/>
      </c>
      <c r="C76" s="16" t="str">
        <f>IF($W76="L",IF(INDEX(Leases!$V$5:$V$34,$X76)="","",INDEX(Leases!$V$5:$V$34,$X76)),IF($W76="V",IF(INDEX(Units!$A$5:$A$54,$X76)="","",INDEX(Units!$A$5:$A$54,$X76)),""))</f>
        <v/>
      </c>
      <c r="D76" s="16" t="str">
        <f>IF($W76="L",IF(INDEX(Leases!$B$5:$B$34,$X76)="","",INDEX(Leases!$B$5:$B$34,$X76)),IF($W76="V","",""))</f>
        <v/>
      </c>
      <c r="E76" s="17" t="str">
        <f>IF($W76="L",INDEX(Leases!$W$5:$W$34,$X76),IF($W76="V",IF(INDEX(Units!$B$5:$B$54,$X76)="","",INDEX(Units!$B$5:$B$54,$X76)),""))</f>
        <v/>
      </c>
      <c r="F76" s="18" t="str">
        <f>IF($W76="L",IF(INDEX(Leases!$C$5:$C$34,$X76)="","",INDEX(Leases!$C$5:$C$34,$X76)),IF($W76="V",IF(INDEX(Units!$H$5:$H$54,$X76)="","",INDEX(Units!$H$5:$H$54,$X76)),""))</f>
        <v/>
      </c>
      <c r="G76" s="18" t="str">
        <f>IF($W76="L",IF(INDEX(Leases!$D$5:$D$34,$X76)="","No end date",INDEX(Leases!$D$5:$D$34,$X76)),IF($W76="V","",""))</f>
        <v/>
      </c>
      <c r="H76" s="18" t="str">
        <f>IF($W76="L",IF(INDEX(Leases!$E$5:$E$34,$X76)="","",INDEX(Leases!$E$5:$E$34,$X76)),IF($W76="V","",""))</f>
        <v/>
      </c>
      <c r="I76" s="19" t="str">
        <f>IF($W76="L",IF(INDEX(Leases!$X$5:$X$34,$X76)="","",INDEX(Leases!$X$5:$X$34,$X76)),IF($W76="V","",""))</f>
        <v/>
      </c>
      <c r="J76" s="19" t="str">
        <f>IF($W76="L",IF(INDEX(Leases!$Z$5:$Z$34,$X76)="","",INDEX(Leases!$Z$5:$Z$34,$X76)),IF($W76="V","",""))</f>
        <v/>
      </c>
      <c r="K76" s="19" t="str">
        <f>IF($W76="L",IF(INDEX(Leases!$Y$5:$Y$34,$X76)="","",INDEX(Leases!$Y$5:$Y$34,$X76)),IF($W76="V","",""))</f>
        <v/>
      </c>
      <c r="L76" s="19" t="str">
        <f>IF($W76="L",IF(INDEX(Leases!$M$5:$M$34,$X76)="","",INDEX(Leases!$M$5:$M$34,$X76)),IF($W76="V","",""))</f>
        <v/>
      </c>
      <c r="M76" s="18" t="str">
        <f>IF($W76="L",IF(INDEX(Leases!$AA$5:$AA$34,$X76)="","",INDEX(Leases!$AA$5:$AA$34,$X76)),IF($W76="V","",""))</f>
        <v/>
      </c>
      <c r="N76" s="19" t="str">
        <f>IF($W76="L",IF(INDEX(Leases!$AB$5:$AB$34,$X76)="","",INDEX(Leases!$AB$5:$AB$34,$X76)),IF($W76="V","",""))</f>
        <v/>
      </c>
      <c r="O76" s="20" t="str">
        <f>IF($W76="L",IF(INDEX(Leases!$AD$5:$AD$34,$X76)=1,INDEX(Leases!$J$5:$J$34,$X76),""),IF($W76="V","",""))</f>
        <v/>
      </c>
      <c r="P76" s="18" t="str">
        <f>IF($W76="L",IF(INDEX(Leases!$AD$5:$AD$34,$X76)=1,INDEX(Leases!$L$5:$L$34,$X76),""),IF($W76="V","",""))</f>
        <v/>
      </c>
      <c r="Q76" s="19" t="str">
        <f>IF($W76="L",INDEX(Leases!$AE$5:$AE$34,$X76),IF($W76="V","",""))</f>
        <v/>
      </c>
      <c r="R76" s="19" t="str">
        <f>IF($W76="L",INDEX(Leases!$AF$5:$AF$34,$X76),IF($W76="V","",""))</f>
        <v/>
      </c>
      <c r="S76" s="19" t="str">
        <f>IF($W76="L",IF(INDEX(Leases!$AH$5:$AH$34,$X76)="","",INDEX(Leases!$AH$5:$AH$34,$X76)),IF($W76="V","",""))</f>
        <v/>
      </c>
      <c r="T76" s="16" t="str">
        <f>IF($W76="L",TRIM(IF(INDEX(Leases!$AJ$5:$AJ$34,$X76)=1,"Awaiting index: not in rent totals. ","")&amp;IF(INDEX(Leases!$AC$5:$AC$34,$X76)=1,"Rent not started. ","")&amp;IF(INDEX(Leases!$AD$5:$AD$34,$X76)=1,"Abated on the date. ","")&amp;IF(INDEX(Leases!$AG$5:$AG$34,$X76)=1,"Letter of credit expired. ","")),IF($W76="V",IF(INDEX(Units!$H$5:$H$54,$X76)&lt;&gt;"","Vacant. A signed lease starts on the Lease start date.","Vacant."),""))</f>
        <v/>
      </c>
      <c r="U76" s="16" t="str">
        <f>IF($W76="L",IF(INDEX(Leases!$R$5:$R$34,$X76)="","",INDEX(Leases!$R$5:$R$34,$X76)),IF($W76="V",IF(INDEX(Units!$D$5:$D$54,$X76)="","",INDEX(Units!$D$5:$D$54,$X76)),""))</f>
        <v/>
      </c>
      <c r="W76" s="15" t="str">
        <f>IF((ROW()-ROW($A$9))&lt;=$W$7,"L",IF((ROW()-ROW($A$9))&lt;=$W$7+$X$7,"V",""))</f>
        <v/>
      </c>
      <c r="X76" s="15" t="str">
        <f>IF(W76="L",MATCH((ROW()-ROW($A$9)),Leases!$AQ$5:$AQ$34,0),IF(W76="V",MATCH((ROW()-ROW($A$9))-$W$7,Units!$J$5:$J$54,0),""))</f>
        <v/>
      </c>
      <c r="Y76" s="15">
        <f>IF(W76="L",INDEX(Leases!$AI$5:$AI$34,$X76),0)</f>
        <v>0</v>
      </c>
    </row>
    <row r="77">
      <c r="A77" s="15" t="str">
        <f>IF($W77="","",(ROW()-ROW($A$9)))</f>
        <v/>
      </c>
      <c r="B77" s="16" t="str">
        <f>IF($W77="L",IF(INDEX(Leases!$A$5:$A$34,$X77)="","",INDEX(Leases!$A$5:$A$34,$X77)),IF($W77="V","Vacant",""))</f>
        <v/>
      </c>
      <c r="C77" s="16" t="str">
        <f>IF($W77="L",IF(INDEX(Leases!$V$5:$V$34,$X77)="","",INDEX(Leases!$V$5:$V$34,$X77)),IF($W77="V",IF(INDEX(Units!$A$5:$A$54,$X77)="","",INDEX(Units!$A$5:$A$54,$X77)),""))</f>
        <v/>
      </c>
      <c r="D77" s="16" t="str">
        <f>IF($W77="L",IF(INDEX(Leases!$B$5:$B$34,$X77)="","",INDEX(Leases!$B$5:$B$34,$X77)),IF($W77="V","",""))</f>
        <v/>
      </c>
      <c r="E77" s="17" t="str">
        <f>IF($W77="L",INDEX(Leases!$W$5:$W$34,$X77),IF($W77="V",IF(INDEX(Units!$B$5:$B$54,$X77)="","",INDEX(Units!$B$5:$B$54,$X77)),""))</f>
        <v/>
      </c>
      <c r="F77" s="18" t="str">
        <f>IF($W77="L",IF(INDEX(Leases!$C$5:$C$34,$X77)="","",INDEX(Leases!$C$5:$C$34,$X77)),IF($W77="V",IF(INDEX(Units!$H$5:$H$54,$X77)="","",INDEX(Units!$H$5:$H$54,$X77)),""))</f>
        <v/>
      </c>
      <c r="G77" s="18" t="str">
        <f>IF($W77="L",IF(INDEX(Leases!$D$5:$D$34,$X77)="","No end date",INDEX(Leases!$D$5:$D$34,$X77)),IF($W77="V","",""))</f>
        <v/>
      </c>
      <c r="H77" s="18" t="str">
        <f>IF($W77="L",IF(INDEX(Leases!$E$5:$E$34,$X77)="","",INDEX(Leases!$E$5:$E$34,$X77)),IF($W77="V","",""))</f>
        <v/>
      </c>
      <c r="I77" s="19" t="str">
        <f>IF($W77="L",IF(INDEX(Leases!$X$5:$X$34,$X77)="","",INDEX(Leases!$X$5:$X$34,$X77)),IF($W77="V","",""))</f>
        <v/>
      </c>
      <c r="J77" s="19" t="str">
        <f>IF($W77="L",IF(INDEX(Leases!$Z$5:$Z$34,$X77)="","",INDEX(Leases!$Z$5:$Z$34,$X77)),IF($W77="V","",""))</f>
        <v/>
      </c>
      <c r="K77" s="19" t="str">
        <f>IF($W77="L",IF(INDEX(Leases!$Y$5:$Y$34,$X77)="","",INDEX(Leases!$Y$5:$Y$34,$X77)),IF($W77="V","",""))</f>
        <v/>
      </c>
      <c r="L77" s="19" t="str">
        <f>IF($W77="L",IF(INDEX(Leases!$M$5:$M$34,$X77)="","",INDEX(Leases!$M$5:$M$34,$X77)),IF($W77="V","",""))</f>
        <v/>
      </c>
      <c r="M77" s="18" t="str">
        <f>IF($W77="L",IF(INDEX(Leases!$AA$5:$AA$34,$X77)="","",INDEX(Leases!$AA$5:$AA$34,$X77)),IF($W77="V","",""))</f>
        <v/>
      </c>
      <c r="N77" s="19" t="str">
        <f>IF($W77="L",IF(INDEX(Leases!$AB$5:$AB$34,$X77)="","",INDEX(Leases!$AB$5:$AB$34,$X77)),IF($W77="V","",""))</f>
        <v/>
      </c>
      <c r="O77" s="20" t="str">
        <f>IF($W77="L",IF(INDEX(Leases!$AD$5:$AD$34,$X77)=1,INDEX(Leases!$J$5:$J$34,$X77),""),IF($W77="V","",""))</f>
        <v/>
      </c>
      <c r="P77" s="18" t="str">
        <f>IF($W77="L",IF(INDEX(Leases!$AD$5:$AD$34,$X77)=1,INDEX(Leases!$L$5:$L$34,$X77),""),IF($W77="V","",""))</f>
        <v/>
      </c>
      <c r="Q77" s="19" t="str">
        <f>IF($W77="L",INDEX(Leases!$AE$5:$AE$34,$X77),IF($W77="V","",""))</f>
        <v/>
      </c>
      <c r="R77" s="19" t="str">
        <f>IF($W77="L",INDEX(Leases!$AF$5:$AF$34,$X77),IF($W77="V","",""))</f>
        <v/>
      </c>
      <c r="S77" s="19" t="str">
        <f>IF($W77="L",IF(INDEX(Leases!$AH$5:$AH$34,$X77)="","",INDEX(Leases!$AH$5:$AH$34,$X77)),IF($W77="V","",""))</f>
        <v/>
      </c>
      <c r="T77" s="16" t="str">
        <f>IF($W77="L",TRIM(IF(INDEX(Leases!$AJ$5:$AJ$34,$X77)=1,"Awaiting index: not in rent totals. ","")&amp;IF(INDEX(Leases!$AC$5:$AC$34,$X77)=1,"Rent not started. ","")&amp;IF(INDEX(Leases!$AD$5:$AD$34,$X77)=1,"Abated on the date. ","")&amp;IF(INDEX(Leases!$AG$5:$AG$34,$X77)=1,"Letter of credit expired. ","")),IF($W77="V",IF(INDEX(Units!$H$5:$H$54,$X77)&lt;&gt;"","Vacant. A signed lease starts on the Lease start date.","Vacant."),""))</f>
        <v/>
      </c>
      <c r="U77" s="16" t="str">
        <f>IF($W77="L",IF(INDEX(Leases!$R$5:$R$34,$X77)="","",INDEX(Leases!$R$5:$R$34,$X77)),IF($W77="V",IF(INDEX(Units!$D$5:$D$54,$X77)="","",INDEX(Units!$D$5:$D$54,$X77)),""))</f>
        <v/>
      </c>
      <c r="W77" s="15" t="str">
        <f>IF((ROW()-ROW($A$9))&lt;=$W$7,"L",IF((ROW()-ROW($A$9))&lt;=$W$7+$X$7,"V",""))</f>
        <v/>
      </c>
      <c r="X77" s="15" t="str">
        <f>IF(W77="L",MATCH((ROW()-ROW($A$9)),Leases!$AQ$5:$AQ$34,0),IF(W77="V",MATCH((ROW()-ROW($A$9))-$W$7,Units!$J$5:$J$54,0),""))</f>
        <v/>
      </c>
      <c r="Y77" s="15">
        <f>IF(W77="L",INDEX(Leases!$AI$5:$AI$34,$X77),0)</f>
        <v>0</v>
      </c>
    </row>
    <row r="78">
      <c r="A78" s="15" t="str">
        <f>IF($W78="","",(ROW()-ROW($A$9)))</f>
        <v/>
      </c>
      <c r="B78" s="16" t="str">
        <f>IF($W78="L",IF(INDEX(Leases!$A$5:$A$34,$X78)="","",INDEX(Leases!$A$5:$A$34,$X78)),IF($W78="V","Vacant",""))</f>
        <v/>
      </c>
      <c r="C78" s="16" t="str">
        <f>IF($W78="L",IF(INDEX(Leases!$V$5:$V$34,$X78)="","",INDEX(Leases!$V$5:$V$34,$X78)),IF($W78="V",IF(INDEX(Units!$A$5:$A$54,$X78)="","",INDEX(Units!$A$5:$A$54,$X78)),""))</f>
        <v/>
      </c>
      <c r="D78" s="16" t="str">
        <f>IF($W78="L",IF(INDEX(Leases!$B$5:$B$34,$X78)="","",INDEX(Leases!$B$5:$B$34,$X78)),IF($W78="V","",""))</f>
        <v/>
      </c>
      <c r="E78" s="17" t="str">
        <f>IF($W78="L",INDEX(Leases!$W$5:$W$34,$X78),IF($W78="V",IF(INDEX(Units!$B$5:$B$54,$X78)="","",INDEX(Units!$B$5:$B$54,$X78)),""))</f>
        <v/>
      </c>
      <c r="F78" s="18" t="str">
        <f>IF($W78="L",IF(INDEX(Leases!$C$5:$C$34,$X78)="","",INDEX(Leases!$C$5:$C$34,$X78)),IF($W78="V",IF(INDEX(Units!$H$5:$H$54,$X78)="","",INDEX(Units!$H$5:$H$54,$X78)),""))</f>
        <v/>
      </c>
      <c r="G78" s="18" t="str">
        <f>IF($W78="L",IF(INDEX(Leases!$D$5:$D$34,$X78)="","No end date",INDEX(Leases!$D$5:$D$34,$X78)),IF($W78="V","",""))</f>
        <v/>
      </c>
      <c r="H78" s="18" t="str">
        <f>IF($W78="L",IF(INDEX(Leases!$E$5:$E$34,$X78)="","",INDEX(Leases!$E$5:$E$34,$X78)),IF($W78="V","",""))</f>
        <v/>
      </c>
      <c r="I78" s="19" t="str">
        <f>IF($W78="L",IF(INDEX(Leases!$X$5:$X$34,$X78)="","",INDEX(Leases!$X$5:$X$34,$X78)),IF($W78="V","",""))</f>
        <v/>
      </c>
      <c r="J78" s="19" t="str">
        <f>IF($W78="L",IF(INDEX(Leases!$Z$5:$Z$34,$X78)="","",INDEX(Leases!$Z$5:$Z$34,$X78)),IF($W78="V","",""))</f>
        <v/>
      </c>
      <c r="K78" s="19" t="str">
        <f>IF($W78="L",IF(INDEX(Leases!$Y$5:$Y$34,$X78)="","",INDEX(Leases!$Y$5:$Y$34,$X78)),IF($W78="V","",""))</f>
        <v/>
      </c>
      <c r="L78" s="19" t="str">
        <f>IF($W78="L",IF(INDEX(Leases!$M$5:$M$34,$X78)="","",INDEX(Leases!$M$5:$M$34,$X78)),IF($W78="V","",""))</f>
        <v/>
      </c>
      <c r="M78" s="18" t="str">
        <f>IF($W78="L",IF(INDEX(Leases!$AA$5:$AA$34,$X78)="","",INDEX(Leases!$AA$5:$AA$34,$X78)),IF($W78="V","",""))</f>
        <v/>
      </c>
      <c r="N78" s="19" t="str">
        <f>IF($W78="L",IF(INDEX(Leases!$AB$5:$AB$34,$X78)="","",INDEX(Leases!$AB$5:$AB$34,$X78)),IF($W78="V","",""))</f>
        <v/>
      </c>
      <c r="O78" s="20" t="str">
        <f>IF($W78="L",IF(INDEX(Leases!$AD$5:$AD$34,$X78)=1,INDEX(Leases!$J$5:$J$34,$X78),""),IF($W78="V","",""))</f>
        <v/>
      </c>
      <c r="P78" s="18" t="str">
        <f>IF($W78="L",IF(INDEX(Leases!$AD$5:$AD$34,$X78)=1,INDEX(Leases!$L$5:$L$34,$X78),""),IF($W78="V","",""))</f>
        <v/>
      </c>
      <c r="Q78" s="19" t="str">
        <f>IF($W78="L",INDEX(Leases!$AE$5:$AE$34,$X78),IF($W78="V","",""))</f>
        <v/>
      </c>
      <c r="R78" s="19" t="str">
        <f>IF($W78="L",INDEX(Leases!$AF$5:$AF$34,$X78),IF($W78="V","",""))</f>
        <v/>
      </c>
      <c r="S78" s="19" t="str">
        <f>IF($W78="L",IF(INDEX(Leases!$AH$5:$AH$34,$X78)="","",INDEX(Leases!$AH$5:$AH$34,$X78)),IF($W78="V","",""))</f>
        <v/>
      </c>
      <c r="T78" s="16" t="str">
        <f>IF($W78="L",TRIM(IF(INDEX(Leases!$AJ$5:$AJ$34,$X78)=1,"Awaiting index: not in rent totals. ","")&amp;IF(INDEX(Leases!$AC$5:$AC$34,$X78)=1,"Rent not started. ","")&amp;IF(INDEX(Leases!$AD$5:$AD$34,$X78)=1,"Abated on the date. ","")&amp;IF(INDEX(Leases!$AG$5:$AG$34,$X78)=1,"Letter of credit expired. ","")),IF($W78="V",IF(INDEX(Units!$H$5:$H$54,$X78)&lt;&gt;"","Vacant. A signed lease starts on the Lease start date.","Vacant."),""))</f>
        <v/>
      </c>
      <c r="U78" s="16" t="str">
        <f>IF($W78="L",IF(INDEX(Leases!$R$5:$R$34,$X78)="","",INDEX(Leases!$R$5:$R$34,$X78)),IF($W78="V",IF(INDEX(Units!$D$5:$D$54,$X78)="","",INDEX(Units!$D$5:$D$54,$X78)),""))</f>
        <v/>
      </c>
      <c r="W78" s="15" t="str">
        <f>IF((ROW()-ROW($A$9))&lt;=$W$7,"L",IF((ROW()-ROW($A$9))&lt;=$W$7+$X$7,"V",""))</f>
        <v/>
      </c>
      <c r="X78" s="15" t="str">
        <f>IF(W78="L",MATCH((ROW()-ROW($A$9)),Leases!$AQ$5:$AQ$34,0),IF(W78="V",MATCH((ROW()-ROW($A$9))-$W$7,Units!$J$5:$J$54,0),""))</f>
        <v/>
      </c>
      <c r="Y78" s="15">
        <f>IF(W78="L",INDEX(Leases!$AI$5:$AI$34,$X78),0)</f>
        <v>0</v>
      </c>
    </row>
    <row r="79">
      <c r="A79" s="15" t="str">
        <f>IF($W79="","",(ROW()-ROW($A$9)))</f>
        <v/>
      </c>
      <c r="B79" s="16" t="str">
        <f>IF($W79="L",IF(INDEX(Leases!$A$5:$A$34,$X79)="","",INDEX(Leases!$A$5:$A$34,$X79)),IF($W79="V","Vacant",""))</f>
        <v/>
      </c>
      <c r="C79" s="16" t="str">
        <f>IF($W79="L",IF(INDEX(Leases!$V$5:$V$34,$X79)="","",INDEX(Leases!$V$5:$V$34,$X79)),IF($W79="V",IF(INDEX(Units!$A$5:$A$54,$X79)="","",INDEX(Units!$A$5:$A$54,$X79)),""))</f>
        <v/>
      </c>
      <c r="D79" s="16" t="str">
        <f>IF($W79="L",IF(INDEX(Leases!$B$5:$B$34,$X79)="","",INDEX(Leases!$B$5:$B$34,$X79)),IF($W79="V","",""))</f>
        <v/>
      </c>
      <c r="E79" s="17" t="str">
        <f>IF($W79="L",INDEX(Leases!$W$5:$W$34,$X79),IF($W79="V",IF(INDEX(Units!$B$5:$B$54,$X79)="","",INDEX(Units!$B$5:$B$54,$X79)),""))</f>
        <v/>
      </c>
      <c r="F79" s="18" t="str">
        <f>IF($W79="L",IF(INDEX(Leases!$C$5:$C$34,$X79)="","",INDEX(Leases!$C$5:$C$34,$X79)),IF($W79="V",IF(INDEX(Units!$H$5:$H$54,$X79)="","",INDEX(Units!$H$5:$H$54,$X79)),""))</f>
        <v/>
      </c>
      <c r="G79" s="18" t="str">
        <f>IF($W79="L",IF(INDEX(Leases!$D$5:$D$34,$X79)="","No end date",INDEX(Leases!$D$5:$D$34,$X79)),IF($W79="V","",""))</f>
        <v/>
      </c>
      <c r="H79" s="18" t="str">
        <f>IF($W79="L",IF(INDEX(Leases!$E$5:$E$34,$X79)="","",INDEX(Leases!$E$5:$E$34,$X79)),IF($W79="V","",""))</f>
        <v/>
      </c>
      <c r="I79" s="19" t="str">
        <f>IF($W79="L",IF(INDEX(Leases!$X$5:$X$34,$X79)="","",INDEX(Leases!$X$5:$X$34,$X79)),IF($W79="V","",""))</f>
        <v/>
      </c>
      <c r="J79" s="19" t="str">
        <f>IF($W79="L",IF(INDEX(Leases!$Z$5:$Z$34,$X79)="","",INDEX(Leases!$Z$5:$Z$34,$X79)),IF($W79="V","",""))</f>
        <v/>
      </c>
      <c r="K79" s="19" t="str">
        <f>IF($W79="L",IF(INDEX(Leases!$Y$5:$Y$34,$X79)="","",INDEX(Leases!$Y$5:$Y$34,$X79)),IF($W79="V","",""))</f>
        <v/>
      </c>
      <c r="L79" s="19" t="str">
        <f>IF($W79="L",IF(INDEX(Leases!$M$5:$M$34,$X79)="","",INDEX(Leases!$M$5:$M$34,$X79)),IF($W79="V","",""))</f>
        <v/>
      </c>
      <c r="M79" s="18" t="str">
        <f>IF($W79="L",IF(INDEX(Leases!$AA$5:$AA$34,$X79)="","",INDEX(Leases!$AA$5:$AA$34,$X79)),IF($W79="V","",""))</f>
        <v/>
      </c>
      <c r="N79" s="19" t="str">
        <f>IF($W79="L",IF(INDEX(Leases!$AB$5:$AB$34,$X79)="","",INDEX(Leases!$AB$5:$AB$34,$X79)),IF($W79="V","",""))</f>
        <v/>
      </c>
      <c r="O79" s="20" t="str">
        <f>IF($W79="L",IF(INDEX(Leases!$AD$5:$AD$34,$X79)=1,INDEX(Leases!$J$5:$J$34,$X79),""),IF($W79="V","",""))</f>
        <v/>
      </c>
      <c r="P79" s="18" t="str">
        <f>IF($W79="L",IF(INDEX(Leases!$AD$5:$AD$34,$X79)=1,INDEX(Leases!$L$5:$L$34,$X79),""),IF($W79="V","",""))</f>
        <v/>
      </c>
      <c r="Q79" s="19" t="str">
        <f>IF($W79="L",INDEX(Leases!$AE$5:$AE$34,$X79),IF($W79="V","",""))</f>
        <v/>
      </c>
      <c r="R79" s="19" t="str">
        <f>IF($W79="L",INDEX(Leases!$AF$5:$AF$34,$X79),IF($W79="V","",""))</f>
        <v/>
      </c>
      <c r="S79" s="19" t="str">
        <f>IF($W79="L",IF(INDEX(Leases!$AH$5:$AH$34,$X79)="","",INDEX(Leases!$AH$5:$AH$34,$X79)),IF($W79="V","",""))</f>
        <v/>
      </c>
      <c r="T79" s="16" t="str">
        <f>IF($W79="L",TRIM(IF(INDEX(Leases!$AJ$5:$AJ$34,$X79)=1,"Awaiting index: not in rent totals. ","")&amp;IF(INDEX(Leases!$AC$5:$AC$34,$X79)=1,"Rent not started. ","")&amp;IF(INDEX(Leases!$AD$5:$AD$34,$X79)=1,"Abated on the date. ","")&amp;IF(INDEX(Leases!$AG$5:$AG$34,$X79)=1,"Letter of credit expired. ","")),IF($W79="V",IF(INDEX(Units!$H$5:$H$54,$X79)&lt;&gt;"","Vacant. A signed lease starts on the Lease start date.","Vacant."),""))</f>
        <v/>
      </c>
      <c r="U79" s="16" t="str">
        <f>IF($W79="L",IF(INDEX(Leases!$R$5:$R$34,$X79)="","",INDEX(Leases!$R$5:$R$34,$X79)),IF($W79="V",IF(INDEX(Units!$D$5:$D$54,$X79)="","",INDEX(Units!$D$5:$D$54,$X79)),""))</f>
        <v/>
      </c>
      <c r="W79" s="15" t="str">
        <f>IF((ROW()-ROW($A$9))&lt;=$W$7,"L",IF((ROW()-ROW($A$9))&lt;=$W$7+$X$7,"V",""))</f>
        <v/>
      </c>
      <c r="X79" s="15" t="str">
        <f>IF(W79="L",MATCH((ROW()-ROW($A$9)),Leases!$AQ$5:$AQ$34,0),IF(W79="V",MATCH((ROW()-ROW($A$9))-$W$7,Units!$J$5:$J$54,0),""))</f>
        <v/>
      </c>
      <c r="Y79" s="15">
        <f>IF(W79="L",INDEX(Leases!$AI$5:$AI$34,$X79),0)</f>
        <v>0</v>
      </c>
    </row>
    <row r="80">
      <c r="A80" s="15" t="str">
        <f>IF($W80="","",(ROW()-ROW($A$9)))</f>
        <v/>
      </c>
      <c r="B80" s="16" t="str">
        <f>IF($W80="L",IF(INDEX(Leases!$A$5:$A$34,$X80)="","",INDEX(Leases!$A$5:$A$34,$X80)),IF($W80="V","Vacant",""))</f>
        <v/>
      </c>
      <c r="C80" s="16" t="str">
        <f>IF($W80="L",IF(INDEX(Leases!$V$5:$V$34,$X80)="","",INDEX(Leases!$V$5:$V$34,$X80)),IF($W80="V",IF(INDEX(Units!$A$5:$A$54,$X80)="","",INDEX(Units!$A$5:$A$54,$X80)),""))</f>
        <v/>
      </c>
      <c r="D80" s="16" t="str">
        <f>IF($W80="L",IF(INDEX(Leases!$B$5:$B$34,$X80)="","",INDEX(Leases!$B$5:$B$34,$X80)),IF($W80="V","",""))</f>
        <v/>
      </c>
      <c r="E80" s="17" t="str">
        <f>IF($W80="L",INDEX(Leases!$W$5:$W$34,$X80),IF($W80="V",IF(INDEX(Units!$B$5:$B$54,$X80)="","",INDEX(Units!$B$5:$B$54,$X80)),""))</f>
        <v/>
      </c>
      <c r="F80" s="18" t="str">
        <f>IF($W80="L",IF(INDEX(Leases!$C$5:$C$34,$X80)="","",INDEX(Leases!$C$5:$C$34,$X80)),IF($W80="V",IF(INDEX(Units!$H$5:$H$54,$X80)="","",INDEX(Units!$H$5:$H$54,$X80)),""))</f>
        <v/>
      </c>
      <c r="G80" s="18" t="str">
        <f>IF($W80="L",IF(INDEX(Leases!$D$5:$D$34,$X80)="","No end date",INDEX(Leases!$D$5:$D$34,$X80)),IF($W80="V","",""))</f>
        <v/>
      </c>
      <c r="H80" s="18" t="str">
        <f>IF($W80="L",IF(INDEX(Leases!$E$5:$E$34,$X80)="","",INDEX(Leases!$E$5:$E$34,$X80)),IF($W80="V","",""))</f>
        <v/>
      </c>
      <c r="I80" s="19" t="str">
        <f>IF($W80="L",IF(INDEX(Leases!$X$5:$X$34,$X80)="","",INDEX(Leases!$X$5:$X$34,$X80)),IF($W80="V","",""))</f>
        <v/>
      </c>
      <c r="J80" s="19" t="str">
        <f>IF($W80="L",IF(INDEX(Leases!$Z$5:$Z$34,$X80)="","",INDEX(Leases!$Z$5:$Z$34,$X80)),IF($W80="V","",""))</f>
        <v/>
      </c>
      <c r="K80" s="19" t="str">
        <f>IF($W80="L",IF(INDEX(Leases!$Y$5:$Y$34,$X80)="","",INDEX(Leases!$Y$5:$Y$34,$X80)),IF($W80="V","",""))</f>
        <v/>
      </c>
      <c r="L80" s="19" t="str">
        <f>IF($W80="L",IF(INDEX(Leases!$M$5:$M$34,$X80)="","",INDEX(Leases!$M$5:$M$34,$X80)),IF($W80="V","",""))</f>
        <v/>
      </c>
      <c r="M80" s="18" t="str">
        <f>IF($W80="L",IF(INDEX(Leases!$AA$5:$AA$34,$X80)="","",INDEX(Leases!$AA$5:$AA$34,$X80)),IF($W80="V","",""))</f>
        <v/>
      </c>
      <c r="N80" s="19" t="str">
        <f>IF($W80="L",IF(INDEX(Leases!$AB$5:$AB$34,$X80)="","",INDEX(Leases!$AB$5:$AB$34,$X80)),IF($W80="V","",""))</f>
        <v/>
      </c>
      <c r="O80" s="20" t="str">
        <f>IF($W80="L",IF(INDEX(Leases!$AD$5:$AD$34,$X80)=1,INDEX(Leases!$J$5:$J$34,$X80),""),IF($W80="V","",""))</f>
        <v/>
      </c>
      <c r="P80" s="18" t="str">
        <f>IF($W80="L",IF(INDEX(Leases!$AD$5:$AD$34,$X80)=1,INDEX(Leases!$L$5:$L$34,$X80),""),IF($W80="V","",""))</f>
        <v/>
      </c>
      <c r="Q80" s="19" t="str">
        <f>IF($W80="L",INDEX(Leases!$AE$5:$AE$34,$X80),IF($W80="V","",""))</f>
        <v/>
      </c>
      <c r="R80" s="19" t="str">
        <f>IF($W80="L",INDEX(Leases!$AF$5:$AF$34,$X80),IF($W80="V","",""))</f>
        <v/>
      </c>
      <c r="S80" s="19" t="str">
        <f>IF($W80="L",IF(INDEX(Leases!$AH$5:$AH$34,$X80)="","",INDEX(Leases!$AH$5:$AH$34,$X80)),IF($W80="V","",""))</f>
        <v/>
      </c>
      <c r="T80" s="16" t="str">
        <f>IF($W80="L",TRIM(IF(INDEX(Leases!$AJ$5:$AJ$34,$X80)=1,"Awaiting index: not in rent totals. ","")&amp;IF(INDEX(Leases!$AC$5:$AC$34,$X80)=1,"Rent not started. ","")&amp;IF(INDEX(Leases!$AD$5:$AD$34,$X80)=1,"Abated on the date. ","")&amp;IF(INDEX(Leases!$AG$5:$AG$34,$X80)=1,"Letter of credit expired. ","")),IF($W80="V",IF(INDEX(Units!$H$5:$H$54,$X80)&lt;&gt;"","Vacant. A signed lease starts on the Lease start date.","Vacant."),""))</f>
        <v/>
      </c>
      <c r="U80" s="16" t="str">
        <f>IF($W80="L",IF(INDEX(Leases!$R$5:$R$34,$X80)="","",INDEX(Leases!$R$5:$R$34,$X80)),IF($W80="V",IF(INDEX(Units!$D$5:$D$54,$X80)="","",INDEX(Units!$D$5:$D$54,$X80)),""))</f>
        <v/>
      </c>
      <c r="W80" s="15" t="str">
        <f>IF((ROW()-ROW($A$9))&lt;=$W$7,"L",IF((ROW()-ROW($A$9))&lt;=$W$7+$X$7,"V",""))</f>
        <v/>
      </c>
      <c r="X80" s="15" t="str">
        <f>IF(W80="L",MATCH((ROW()-ROW($A$9)),Leases!$AQ$5:$AQ$34,0),IF(W80="V",MATCH((ROW()-ROW($A$9))-$W$7,Units!$J$5:$J$54,0),""))</f>
        <v/>
      </c>
      <c r="Y80" s="15">
        <f>IF(W80="L",INDEX(Leases!$AI$5:$AI$34,$X80),0)</f>
        <v>0</v>
      </c>
    </row>
    <row r="81">
      <c r="A81" s="15" t="str">
        <f>IF($W81="","",(ROW()-ROW($A$9)))</f>
        <v/>
      </c>
      <c r="B81" s="16" t="str">
        <f>IF($W81="L",IF(INDEX(Leases!$A$5:$A$34,$X81)="","",INDEX(Leases!$A$5:$A$34,$X81)),IF($W81="V","Vacant",""))</f>
        <v/>
      </c>
      <c r="C81" s="16" t="str">
        <f>IF($W81="L",IF(INDEX(Leases!$V$5:$V$34,$X81)="","",INDEX(Leases!$V$5:$V$34,$X81)),IF($W81="V",IF(INDEX(Units!$A$5:$A$54,$X81)="","",INDEX(Units!$A$5:$A$54,$X81)),""))</f>
        <v/>
      </c>
      <c r="D81" s="16" t="str">
        <f>IF($W81="L",IF(INDEX(Leases!$B$5:$B$34,$X81)="","",INDEX(Leases!$B$5:$B$34,$X81)),IF($W81="V","",""))</f>
        <v/>
      </c>
      <c r="E81" s="17" t="str">
        <f>IF($W81="L",INDEX(Leases!$W$5:$W$34,$X81),IF($W81="V",IF(INDEX(Units!$B$5:$B$54,$X81)="","",INDEX(Units!$B$5:$B$54,$X81)),""))</f>
        <v/>
      </c>
      <c r="F81" s="18" t="str">
        <f>IF($W81="L",IF(INDEX(Leases!$C$5:$C$34,$X81)="","",INDEX(Leases!$C$5:$C$34,$X81)),IF($W81="V",IF(INDEX(Units!$H$5:$H$54,$X81)="","",INDEX(Units!$H$5:$H$54,$X81)),""))</f>
        <v/>
      </c>
      <c r="G81" s="18" t="str">
        <f>IF($W81="L",IF(INDEX(Leases!$D$5:$D$34,$X81)="","No end date",INDEX(Leases!$D$5:$D$34,$X81)),IF($W81="V","",""))</f>
        <v/>
      </c>
      <c r="H81" s="18" t="str">
        <f>IF($W81="L",IF(INDEX(Leases!$E$5:$E$34,$X81)="","",INDEX(Leases!$E$5:$E$34,$X81)),IF($W81="V","",""))</f>
        <v/>
      </c>
      <c r="I81" s="19" t="str">
        <f>IF($W81="L",IF(INDEX(Leases!$X$5:$X$34,$X81)="","",INDEX(Leases!$X$5:$X$34,$X81)),IF($W81="V","",""))</f>
        <v/>
      </c>
      <c r="J81" s="19" t="str">
        <f>IF($W81="L",IF(INDEX(Leases!$Z$5:$Z$34,$X81)="","",INDEX(Leases!$Z$5:$Z$34,$X81)),IF($W81="V","",""))</f>
        <v/>
      </c>
      <c r="K81" s="19" t="str">
        <f>IF($W81="L",IF(INDEX(Leases!$Y$5:$Y$34,$X81)="","",INDEX(Leases!$Y$5:$Y$34,$X81)),IF($W81="V","",""))</f>
        <v/>
      </c>
      <c r="L81" s="19" t="str">
        <f>IF($W81="L",IF(INDEX(Leases!$M$5:$M$34,$X81)="","",INDEX(Leases!$M$5:$M$34,$X81)),IF($W81="V","",""))</f>
        <v/>
      </c>
      <c r="M81" s="18" t="str">
        <f>IF($W81="L",IF(INDEX(Leases!$AA$5:$AA$34,$X81)="","",INDEX(Leases!$AA$5:$AA$34,$X81)),IF($W81="V","",""))</f>
        <v/>
      </c>
      <c r="N81" s="19" t="str">
        <f>IF($W81="L",IF(INDEX(Leases!$AB$5:$AB$34,$X81)="","",INDEX(Leases!$AB$5:$AB$34,$X81)),IF($W81="V","",""))</f>
        <v/>
      </c>
      <c r="O81" s="20" t="str">
        <f>IF($W81="L",IF(INDEX(Leases!$AD$5:$AD$34,$X81)=1,INDEX(Leases!$J$5:$J$34,$X81),""),IF($W81="V","",""))</f>
        <v/>
      </c>
      <c r="P81" s="18" t="str">
        <f>IF($W81="L",IF(INDEX(Leases!$AD$5:$AD$34,$X81)=1,INDEX(Leases!$L$5:$L$34,$X81),""),IF($W81="V","",""))</f>
        <v/>
      </c>
      <c r="Q81" s="19" t="str">
        <f>IF($W81="L",INDEX(Leases!$AE$5:$AE$34,$X81),IF($W81="V","",""))</f>
        <v/>
      </c>
      <c r="R81" s="19" t="str">
        <f>IF($W81="L",INDEX(Leases!$AF$5:$AF$34,$X81),IF($W81="V","",""))</f>
        <v/>
      </c>
      <c r="S81" s="19" t="str">
        <f>IF($W81="L",IF(INDEX(Leases!$AH$5:$AH$34,$X81)="","",INDEX(Leases!$AH$5:$AH$34,$X81)),IF($W81="V","",""))</f>
        <v/>
      </c>
      <c r="T81" s="16" t="str">
        <f>IF($W81="L",TRIM(IF(INDEX(Leases!$AJ$5:$AJ$34,$X81)=1,"Awaiting index: not in rent totals. ","")&amp;IF(INDEX(Leases!$AC$5:$AC$34,$X81)=1,"Rent not started. ","")&amp;IF(INDEX(Leases!$AD$5:$AD$34,$X81)=1,"Abated on the date. ","")&amp;IF(INDEX(Leases!$AG$5:$AG$34,$X81)=1,"Letter of credit expired. ","")),IF($W81="V",IF(INDEX(Units!$H$5:$H$54,$X81)&lt;&gt;"","Vacant. A signed lease starts on the Lease start date.","Vacant."),""))</f>
        <v/>
      </c>
      <c r="U81" s="16" t="str">
        <f>IF($W81="L",IF(INDEX(Leases!$R$5:$R$34,$X81)="","",INDEX(Leases!$R$5:$R$34,$X81)),IF($W81="V",IF(INDEX(Units!$D$5:$D$54,$X81)="","",INDEX(Units!$D$5:$D$54,$X81)),""))</f>
        <v/>
      </c>
      <c r="W81" s="15" t="str">
        <f>IF((ROW()-ROW($A$9))&lt;=$W$7,"L",IF((ROW()-ROW($A$9))&lt;=$W$7+$X$7,"V",""))</f>
        <v/>
      </c>
      <c r="X81" s="15" t="str">
        <f>IF(W81="L",MATCH((ROW()-ROW($A$9)),Leases!$AQ$5:$AQ$34,0),IF(W81="V",MATCH((ROW()-ROW($A$9))-$W$7,Units!$J$5:$J$54,0),""))</f>
        <v/>
      </c>
      <c r="Y81" s="15">
        <f>IF(W81="L",INDEX(Leases!$AI$5:$AI$34,$X81),0)</f>
        <v>0</v>
      </c>
    </row>
    <row r="82">
      <c r="A82" s="15" t="str">
        <f>IF($W82="","",(ROW()-ROW($A$9)))</f>
        <v/>
      </c>
      <c r="B82" s="16" t="str">
        <f>IF($W82="L",IF(INDEX(Leases!$A$5:$A$34,$X82)="","",INDEX(Leases!$A$5:$A$34,$X82)),IF($W82="V","Vacant",""))</f>
        <v/>
      </c>
      <c r="C82" s="16" t="str">
        <f>IF($W82="L",IF(INDEX(Leases!$V$5:$V$34,$X82)="","",INDEX(Leases!$V$5:$V$34,$X82)),IF($W82="V",IF(INDEX(Units!$A$5:$A$54,$X82)="","",INDEX(Units!$A$5:$A$54,$X82)),""))</f>
        <v/>
      </c>
      <c r="D82" s="16" t="str">
        <f>IF($W82="L",IF(INDEX(Leases!$B$5:$B$34,$X82)="","",INDEX(Leases!$B$5:$B$34,$X82)),IF($W82="V","",""))</f>
        <v/>
      </c>
      <c r="E82" s="17" t="str">
        <f>IF($W82="L",INDEX(Leases!$W$5:$W$34,$X82),IF($W82="V",IF(INDEX(Units!$B$5:$B$54,$X82)="","",INDEX(Units!$B$5:$B$54,$X82)),""))</f>
        <v/>
      </c>
      <c r="F82" s="18" t="str">
        <f>IF($W82="L",IF(INDEX(Leases!$C$5:$C$34,$X82)="","",INDEX(Leases!$C$5:$C$34,$X82)),IF($W82="V",IF(INDEX(Units!$H$5:$H$54,$X82)="","",INDEX(Units!$H$5:$H$54,$X82)),""))</f>
        <v/>
      </c>
      <c r="G82" s="18" t="str">
        <f>IF($W82="L",IF(INDEX(Leases!$D$5:$D$34,$X82)="","No end date",INDEX(Leases!$D$5:$D$34,$X82)),IF($W82="V","",""))</f>
        <v/>
      </c>
      <c r="H82" s="18" t="str">
        <f>IF($W82="L",IF(INDEX(Leases!$E$5:$E$34,$X82)="","",INDEX(Leases!$E$5:$E$34,$X82)),IF($W82="V","",""))</f>
        <v/>
      </c>
      <c r="I82" s="19" t="str">
        <f>IF($W82="L",IF(INDEX(Leases!$X$5:$X$34,$X82)="","",INDEX(Leases!$X$5:$X$34,$X82)),IF($W82="V","",""))</f>
        <v/>
      </c>
      <c r="J82" s="19" t="str">
        <f>IF($W82="L",IF(INDEX(Leases!$Z$5:$Z$34,$X82)="","",INDEX(Leases!$Z$5:$Z$34,$X82)),IF($W82="V","",""))</f>
        <v/>
      </c>
      <c r="K82" s="19" t="str">
        <f>IF($W82="L",IF(INDEX(Leases!$Y$5:$Y$34,$X82)="","",INDEX(Leases!$Y$5:$Y$34,$X82)),IF($W82="V","",""))</f>
        <v/>
      </c>
      <c r="L82" s="19" t="str">
        <f>IF($W82="L",IF(INDEX(Leases!$M$5:$M$34,$X82)="","",INDEX(Leases!$M$5:$M$34,$X82)),IF($W82="V","",""))</f>
        <v/>
      </c>
      <c r="M82" s="18" t="str">
        <f>IF($W82="L",IF(INDEX(Leases!$AA$5:$AA$34,$X82)="","",INDEX(Leases!$AA$5:$AA$34,$X82)),IF($W82="V","",""))</f>
        <v/>
      </c>
      <c r="N82" s="19" t="str">
        <f>IF($W82="L",IF(INDEX(Leases!$AB$5:$AB$34,$X82)="","",INDEX(Leases!$AB$5:$AB$34,$X82)),IF($W82="V","",""))</f>
        <v/>
      </c>
      <c r="O82" s="20" t="str">
        <f>IF($W82="L",IF(INDEX(Leases!$AD$5:$AD$34,$X82)=1,INDEX(Leases!$J$5:$J$34,$X82),""),IF($W82="V","",""))</f>
        <v/>
      </c>
      <c r="P82" s="18" t="str">
        <f>IF($W82="L",IF(INDEX(Leases!$AD$5:$AD$34,$X82)=1,INDEX(Leases!$L$5:$L$34,$X82),""),IF($W82="V","",""))</f>
        <v/>
      </c>
      <c r="Q82" s="19" t="str">
        <f>IF($W82="L",INDEX(Leases!$AE$5:$AE$34,$X82),IF($W82="V","",""))</f>
        <v/>
      </c>
      <c r="R82" s="19" t="str">
        <f>IF($W82="L",INDEX(Leases!$AF$5:$AF$34,$X82),IF($W82="V","",""))</f>
        <v/>
      </c>
      <c r="S82" s="19" t="str">
        <f>IF($W82="L",IF(INDEX(Leases!$AH$5:$AH$34,$X82)="","",INDEX(Leases!$AH$5:$AH$34,$X82)),IF($W82="V","",""))</f>
        <v/>
      </c>
      <c r="T82" s="16" t="str">
        <f>IF($W82="L",TRIM(IF(INDEX(Leases!$AJ$5:$AJ$34,$X82)=1,"Awaiting index: not in rent totals. ","")&amp;IF(INDEX(Leases!$AC$5:$AC$34,$X82)=1,"Rent not started. ","")&amp;IF(INDEX(Leases!$AD$5:$AD$34,$X82)=1,"Abated on the date. ","")&amp;IF(INDEX(Leases!$AG$5:$AG$34,$X82)=1,"Letter of credit expired. ","")),IF($W82="V",IF(INDEX(Units!$H$5:$H$54,$X82)&lt;&gt;"","Vacant. A signed lease starts on the Lease start date.","Vacant."),""))</f>
        <v/>
      </c>
      <c r="U82" s="16" t="str">
        <f>IF($W82="L",IF(INDEX(Leases!$R$5:$R$34,$X82)="","",INDEX(Leases!$R$5:$R$34,$X82)),IF($W82="V",IF(INDEX(Units!$D$5:$D$54,$X82)="","",INDEX(Units!$D$5:$D$54,$X82)),""))</f>
        <v/>
      </c>
      <c r="W82" s="15" t="str">
        <f>IF((ROW()-ROW($A$9))&lt;=$W$7,"L",IF((ROW()-ROW($A$9))&lt;=$W$7+$X$7,"V",""))</f>
        <v/>
      </c>
      <c r="X82" s="15" t="str">
        <f>IF(W82="L",MATCH((ROW()-ROW($A$9)),Leases!$AQ$5:$AQ$34,0),IF(W82="V",MATCH((ROW()-ROW($A$9))-$W$7,Units!$J$5:$J$54,0),""))</f>
        <v/>
      </c>
      <c r="Y82" s="15">
        <f>IF(W82="L",INDEX(Leases!$AI$5:$AI$34,$X82),0)</f>
        <v>0</v>
      </c>
    </row>
    <row r="83">
      <c r="A83" s="15" t="str">
        <f>IF($W83="","",(ROW()-ROW($A$9)))</f>
        <v/>
      </c>
      <c r="B83" s="16" t="str">
        <f>IF($W83="L",IF(INDEX(Leases!$A$5:$A$34,$X83)="","",INDEX(Leases!$A$5:$A$34,$X83)),IF($W83="V","Vacant",""))</f>
        <v/>
      </c>
      <c r="C83" s="16" t="str">
        <f>IF($W83="L",IF(INDEX(Leases!$V$5:$V$34,$X83)="","",INDEX(Leases!$V$5:$V$34,$X83)),IF($W83="V",IF(INDEX(Units!$A$5:$A$54,$X83)="","",INDEX(Units!$A$5:$A$54,$X83)),""))</f>
        <v/>
      </c>
      <c r="D83" s="16" t="str">
        <f>IF($W83="L",IF(INDEX(Leases!$B$5:$B$34,$X83)="","",INDEX(Leases!$B$5:$B$34,$X83)),IF($W83="V","",""))</f>
        <v/>
      </c>
      <c r="E83" s="17" t="str">
        <f>IF($W83="L",INDEX(Leases!$W$5:$W$34,$X83),IF($W83="V",IF(INDEX(Units!$B$5:$B$54,$X83)="","",INDEX(Units!$B$5:$B$54,$X83)),""))</f>
        <v/>
      </c>
      <c r="F83" s="18" t="str">
        <f>IF($W83="L",IF(INDEX(Leases!$C$5:$C$34,$X83)="","",INDEX(Leases!$C$5:$C$34,$X83)),IF($W83="V",IF(INDEX(Units!$H$5:$H$54,$X83)="","",INDEX(Units!$H$5:$H$54,$X83)),""))</f>
        <v/>
      </c>
      <c r="G83" s="18" t="str">
        <f>IF($W83="L",IF(INDEX(Leases!$D$5:$D$34,$X83)="","No end date",INDEX(Leases!$D$5:$D$34,$X83)),IF($W83="V","",""))</f>
        <v/>
      </c>
      <c r="H83" s="18" t="str">
        <f>IF($W83="L",IF(INDEX(Leases!$E$5:$E$34,$X83)="","",INDEX(Leases!$E$5:$E$34,$X83)),IF($W83="V","",""))</f>
        <v/>
      </c>
      <c r="I83" s="19" t="str">
        <f>IF($W83="L",IF(INDEX(Leases!$X$5:$X$34,$X83)="","",INDEX(Leases!$X$5:$X$34,$X83)),IF($W83="V","",""))</f>
        <v/>
      </c>
      <c r="J83" s="19" t="str">
        <f>IF($W83="L",IF(INDEX(Leases!$Z$5:$Z$34,$X83)="","",INDEX(Leases!$Z$5:$Z$34,$X83)),IF($W83="V","",""))</f>
        <v/>
      </c>
      <c r="K83" s="19" t="str">
        <f>IF($W83="L",IF(INDEX(Leases!$Y$5:$Y$34,$X83)="","",INDEX(Leases!$Y$5:$Y$34,$X83)),IF($W83="V","",""))</f>
        <v/>
      </c>
      <c r="L83" s="19" t="str">
        <f>IF($W83="L",IF(INDEX(Leases!$M$5:$M$34,$X83)="","",INDEX(Leases!$M$5:$M$34,$X83)),IF($W83="V","",""))</f>
        <v/>
      </c>
      <c r="M83" s="18" t="str">
        <f>IF($W83="L",IF(INDEX(Leases!$AA$5:$AA$34,$X83)="","",INDEX(Leases!$AA$5:$AA$34,$X83)),IF($W83="V","",""))</f>
        <v/>
      </c>
      <c r="N83" s="19" t="str">
        <f>IF($W83="L",IF(INDEX(Leases!$AB$5:$AB$34,$X83)="","",INDEX(Leases!$AB$5:$AB$34,$X83)),IF($W83="V","",""))</f>
        <v/>
      </c>
      <c r="O83" s="20" t="str">
        <f>IF($W83="L",IF(INDEX(Leases!$AD$5:$AD$34,$X83)=1,INDEX(Leases!$J$5:$J$34,$X83),""),IF($W83="V","",""))</f>
        <v/>
      </c>
      <c r="P83" s="18" t="str">
        <f>IF($W83="L",IF(INDEX(Leases!$AD$5:$AD$34,$X83)=1,INDEX(Leases!$L$5:$L$34,$X83),""),IF($W83="V","",""))</f>
        <v/>
      </c>
      <c r="Q83" s="19" t="str">
        <f>IF($W83="L",INDEX(Leases!$AE$5:$AE$34,$X83),IF($W83="V","",""))</f>
        <v/>
      </c>
      <c r="R83" s="19" t="str">
        <f>IF($W83="L",INDEX(Leases!$AF$5:$AF$34,$X83),IF($W83="V","",""))</f>
        <v/>
      </c>
      <c r="S83" s="19" t="str">
        <f>IF($W83="L",IF(INDEX(Leases!$AH$5:$AH$34,$X83)="","",INDEX(Leases!$AH$5:$AH$34,$X83)),IF($W83="V","",""))</f>
        <v/>
      </c>
      <c r="T83" s="16" t="str">
        <f>IF($W83="L",TRIM(IF(INDEX(Leases!$AJ$5:$AJ$34,$X83)=1,"Awaiting index: not in rent totals. ","")&amp;IF(INDEX(Leases!$AC$5:$AC$34,$X83)=1,"Rent not started. ","")&amp;IF(INDEX(Leases!$AD$5:$AD$34,$X83)=1,"Abated on the date. ","")&amp;IF(INDEX(Leases!$AG$5:$AG$34,$X83)=1,"Letter of credit expired. ","")),IF($W83="V",IF(INDEX(Units!$H$5:$H$54,$X83)&lt;&gt;"","Vacant. A signed lease starts on the Lease start date.","Vacant."),""))</f>
        <v/>
      </c>
      <c r="U83" s="16" t="str">
        <f>IF($W83="L",IF(INDEX(Leases!$R$5:$R$34,$X83)="","",INDEX(Leases!$R$5:$R$34,$X83)),IF($W83="V",IF(INDEX(Units!$D$5:$D$54,$X83)="","",INDEX(Units!$D$5:$D$54,$X83)),""))</f>
        <v/>
      </c>
      <c r="W83" s="15" t="str">
        <f>IF((ROW()-ROW($A$9))&lt;=$W$7,"L",IF((ROW()-ROW($A$9))&lt;=$W$7+$X$7,"V",""))</f>
        <v/>
      </c>
      <c r="X83" s="15" t="str">
        <f>IF(W83="L",MATCH((ROW()-ROW($A$9)),Leases!$AQ$5:$AQ$34,0),IF(W83="V",MATCH((ROW()-ROW($A$9))-$W$7,Units!$J$5:$J$54,0),""))</f>
        <v/>
      </c>
      <c r="Y83" s="15">
        <f>IF(W83="L",INDEX(Leases!$AI$5:$AI$34,$X83),0)</f>
        <v>0</v>
      </c>
    </row>
    <row r="84">
      <c r="A84" s="15" t="str">
        <f>IF($W84="","",(ROW()-ROW($A$9)))</f>
        <v/>
      </c>
      <c r="B84" s="16" t="str">
        <f>IF($W84="L",IF(INDEX(Leases!$A$5:$A$34,$X84)="","",INDEX(Leases!$A$5:$A$34,$X84)),IF($W84="V","Vacant",""))</f>
        <v/>
      </c>
      <c r="C84" s="16" t="str">
        <f>IF($W84="L",IF(INDEX(Leases!$V$5:$V$34,$X84)="","",INDEX(Leases!$V$5:$V$34,$X84)),IF($W84="V",IF(INDEX(Units!$A$5:$A$54,$X84)="","",INDEX(Units!$A$5:$A$54,$X84)),""))</f>
        <v/>
      </c>
      <c r="D84" s="16" t="str">
        <f>IF($W84="L",IF(INDEX(Leases!$B$5:$B$34,$X84)="","",INDEX(Leases!$B$5:$B$34,$X84)),IF($W84="V","",""))</f>
        <v/>
      </c>
      <c r="E84" s="17" t="str">
        <f>IF($W84="L",INDEX(Leases!$W$5:$W$34,$X84),IF($W84="V",IF(INDEX(Units!$B$5:$B$54,$X84)="","",INDEX(Units!$B$5:$B$54,$X84)),""))</f>
        <v/>
      </c>
      <c r="F84" s="18" t="str">
        <f>IF($W84="L",IF(INDEX(Leases!$C$5:$C$34,$X84)="","",INDEX(Leases!$C$5:$C$34,$X84)),IF($W84="V",IF(INDEX(Units!$H$5:$H$54,$X84)="","",INDEX(Units!$H$5:$H$54,$X84)),""))</f>
        <v/>
      </c>
      <c r="G84" s="18" t="str">
        <f>IF($W84="L",IF(INDEX(Leases!$D$5:$D$34,$X84)="","No end date",INDEX(Leases!$D$5:$D$34,$X84)),IF($W84="V","",""))</f>
        <v/>
      </c>
      <c r="H84" s="18" t="str">
        <f>IF($W84="L",IF(INDEX(Leases!$E$5:$E$34,$X84)="","",INDEX(Leases!$E$5:$E$34,$X84)),IF($W84="V","",""))</f>
        <v/>
      </c>
      <c r="I84" s="19" t="str">
        <f>IF($W84="L",IF(INDEX(Leases!$X$5:$X$34,$X84)="","",INDEX(Leases!$X$5:$X$34,$X84)),IF($W84="V","",""))</f>
        <v/>
      </c>
      <c r="J84" s="19" t="str">
        <f>IF($W84="L",IF(INDEX(Leases!$Z$5:$Z$34,$X84)="","",INDEX(Leases!$Z$5:$Z$34,$X84)),IF($W84="V","",""))</f>
        <v/>
      </c>
      <c r="K84" s="19" t="str">
        <f>IF($W84="L",IF(INDEX(Leases!$Y$5:$Y$34,$X84)="","",INDEX(Leases!$Y$5:$Y$34,$X84)),IF($W84="V","",""))</f>
        <v/>
      </c>
      <c r="L84" s="19" t="str">
        <f>IF($W84="L",IF(INDEX(Leases!$M$5:$M$34,$X84)="","",INDEX(Leases!$M$5:$M$34,$X84)),IF($W84="V","",""))</f>
        <v/>
      </c>
      <c r="M84" s="18" t="str">
        <f>IF($W84="L",IF(INDEX(Leases!$AA$5:$AA$34,$X84)="","",INDEX(Leases!$AA$5:$AA$34,$X84)),IF($W84="V","",""))</f>
        <v/>
      </c>
      <c r="N84" s="19" t="str">
        <f>IF($W84="L",IF(INDEX(Leases!$AB$5:$AB$34,$X84)="","",INDEX(Leases!$AB$5:$AB$34,$X84)),IF($W84="V","",""))</f>
        <v/>
      </c>
      <c r="O84" s="20" t="str">
        <f>IF($W84="L",IF(INDEX(Leases!$AD$5:$AD$34,$X84)=1,INDEX(Leases!$J$5:$J$34,$X84),""),IF($W84="V","",""))</f>
        <v/>
      </c>
      <c r="P84" s="18" t="str">
        <f>IF($W84="L",IF(INDEX(Leases!$AD$5:$AD$34,$X84)=1,INDEX(Leases!$L$5:$L$34,$X84),""),IF($W84="V","",""))</f>
        <v/>
      </c>
      <c r="Q84" s="19" t="str">
        <f>IF($W84="L",INDEX(Leases!$AE$5:$AE$34,$X84),IF($W84="V","",""))</f>
        <v/>
      </c>
      <c r="R84" s="19" t="str">
        <f>IF($W84="L",INDEX(Leases!$AF$5:$AF$34,$X84),IF($W84="V","",""))</f>
        <v/>
      </c>
      <c r="S84" s="19" t="str">
        <f>IF($W84="L",IF(INDEX(Leases!$AH$5:$AH$34,$X84)="","",INDEX(Leases!$AH$5:$AH$34,$X84)),IF($W84="V","",""))</f>
        <v/>
      </c>
      <c r="T84" s="16" t="str">
        <f>IF($W84="L",TRIM(IF(INDEX(Leases!$AJ$5:$AJ$34,$X84)=1,"Awaiting index: not in rent totals. ","")&amp;IF(INDEX(Leases!$AC$5:$AC$34,$X84)=1,"Rent not started. ","")&amp;IF(INDEX(Leases!$AD$5:$AD$34,$X84)=1,"Abated on the date. ","")&amp;IF(INDEX(Leases!$AG$5:$AG$34,$X84)=1,"Letter of credit expired. ","")),IF($W84="V",IF(INDEX(Units!$H$5:$H$54,$X84)&lt;&gt;"","Vacant. A signed lease starts on the Lease start date.","Vacant."),""))</f>
        <v/>
      </c>
      <c r="U84" s="16" t="str">
        <f>IF($W84="L",IF(INDEX(Leases!$R$5:$R$34,$X84)="","",INDEX(Leases!$R$5:$R$34,$X84)),IF($W84="V",IF(INDEX(Units!$D$5:$D$54,$X84)="","",INDEX(Units!$D$5:$D$54,$X84)),""))</f>
        <v/>
      </c>
      <c r="W84" s="15" t="str">
        <f>IF((ROW()-ROW($A$9))&lt;=$W$7,"L",IF((ROW()-ROW($A$9))&lt;=$W$7+$X$7,"V",""))</f>
        <v/>
      </c>
      <c r="X84" s="15" t="str">
        <f>IF(W84="L",MATCH((ROW()-ROW($A$9)),Leases!$AQ$5:$AQ$34,0),IF(W84="V",MATCH((ROW()-ROW($A$9))-$W$7,Units!$J$5:$J$54,0),""))</f>
        <v/>
      </c>
      <c r="Y84" s="15">
        <f>IF(W84="L",INDEX(Leases!$AI$5:$AI$34,$X84),0)</f>
        <v>0</v>
      </c>
    </row>
    <row r="85">
      <c r="A85" s="15" t="str">
        <f>IF($W85="","",(ROW()-ROW($A$9)))</f>
        <v/>
      </c>
      <c r="B85" s="16" t="str">
        <f>IF($W85="L",IF(INDEX(Leases!$A$5:$A$34,$X85)="","",INDEX(Leases!$A$5:$A$34,$X85)),IF($W85="V","Vacant",""))</f>
        <v/>
      </c>
      <c r="C85" s="16" t="str">
        <f>IF($W85="L",IF(INDEX(Leases!$V$5:$V$34,$X85)="","",INDEX(Leases!$V$5:$V$34,$X85)),IF($W85="V",IF(INDEX(Units!$A$5:$A$54,$X85)="","",INDEX(Units!$A$5:$A$54,$X85)),""))</f>
        <v/>
      </c>
      <c r="D85" s="16" t="str">
        <f>IF($W85="L",IF(INDEX(Leases!$B$5:$B$34,$X85)="","",INDEX(Leases!$B$5:$B$34,$X85)),IF($W85="V","",""))</f>
        <v/>
      </c>
      <c r="E85" s="17" t="str">
        <f>IF($W85="L",INDEX(Leases!$W$5:$W$34,$X85),IF($W85="V",IF(INDEX(Units!$B$5:$B$54,$X85)="","",INDEX(Units!$B$5:$B$54,$X85)),""))</f>
        <v/>
      </c>
      <c r="F85" s="18" t="str">
        <f>IF($W85="L",IF(INDEX(Leases!$C$5:$C$34,$X85)="","",INDEX(Leases!$C$5:$C$34,$X85)),IF($W85="V",IF(INDEX(Units!$H$5:$H$54,$X85)="","",INDEX(Units!$H$5:$H$54,$X85)),""))</f>
        <v/>
      </c>
      <c r="G85" s="18" t="str">
        <f>IF($W85="L",IF(INDEX(Leases!$D$5:$D$34,$X85)="","No end date",INDEX(Leases!$D$5:$D$34,$X85)),IF($W85="V","",""))</f>
        <v/>
      </c>
      <c r="H85" s="18" t="str">
        <f>IF($W85="L",IF(INDEX(Leases!$E$5:$E$34,$X85)="","",INDEX(Leases!$E$5:$E$34,$X85)),IF($W85="V","",""))</f>
        <v/>
      </c>
      <c r="I85" s="19" t="str">
        <f>IF($W85="L",IF(INDEX(Leases!$X$5:$X$34,$X85)="","",INDEX(Leases!$X$5:$X$34,$X85)),IF($W85="V","",""))</f>
        <v/>
      </c>
      <c r="J85" s="19" t="str">
        <f>IF($W85="L",IF(INDEX(Leases!$Z$5:$Z$34,$X85)="","",INDEX(Leases!$Z$5:$Z$34,$X85)),IF($W85="V","",""))</f>
        <v/>
      </c>
      <c r="K85" s="19" t="str">
        <f>IF($W85="L",IF(INDEX(Leases!$Y$5:$Y$34,$X85)="","",INDEX(Leases!$Y$5:$Y$34,$X85)),IF($W85="V","",""))</f>
        <v/>
      </c>
      <c r="L85" s="19" t="str">
        <f>IF($W85="L",IF(INDEX(Leases!$M$5:$M$34,$X85)="","",INDEX(Leases!$M$5:$M$34,$X85)),IF($W85="V","",""))</f>
        <v/>
      </c>
      <c r="M85" s="18" t="str">
        <f>IF($W85="L",IF(INDEX(Leases!$AA$5:$AA$34,$X85)="","",INDEX(Leases!$AA$5:$AA$34,$X85)),IF($W85="V","",""))</f>
        <v/>
      </c>
      <c r="N85" s="19" t="str">
        <f>IF($W85="L",IF(INDEX(Leases!$AB$5:$AB$34,$X85)="","",INDEX(Leases!$AB$5:$AB$34,$X85)),IF($W85="V","",""))</f>
        <v/>
      </c>
      <c r="O85" s="20" t="str">
        <f>IF($W85="L",IF(INDEX(Leases!$AD$5:$AD$34,$X85)=1,INDEX(Leases!$J$5:$J$34,$X85),""),IF($W85="V","",""))</f>
        <v/>
      </c>
      <c r="P85" s="18" t="str">
        <f>IF($W85="L",IF(INDEX(Leases!$AD$5:$AD$34,$X85)=1,INDEX(Leases!$L$5:$L$34,$X85),""),IF($W85="V","",""))</f>
        <v/>
      </c>
      <c r="Q85" s="19" t="str">
        <f>IF($W85="L",INDEX(Leases!$AE$5:$AE$34,$X85),IF($W85="V","",""))</f>
        <v/>
      </c>
      <c r="R85" s="19" t="str">
        <f>IF($W85="L",INDEX(Leases!$AF$5:$AF$34,$X85),IF($W85="V","",""))</f>
        <v/>
      </c>
      <c r="S85" s="19" t="str">
        <f>IF($W85="L",IF(INDEX(Leases!$AH$5:$AH$34,$X85)="","",INDEX(Leases!$AH$5:$AH$34,$X85)),IF($W85="V","",""))</f>
        <v/>
      </c>
      <c r="T85" s="16" t="str">
        <f>IF($W85="L",TRIM(IF(INDEX(Leases!$AJ$5:$AJ$34,$X85)=1,"Awaiting index: not in rent totals. ","")&amp;IF(INDEX(Leases!$AC$5:$AC$34,$X85)=1,"Rent not started. ","")&amp;IF(INDEX(Leases!$AD$5:$AD$34,$X85)=1,"Abated on the date. ","")&amp;IF(INDEX(Leases!$AG$5:$AG$34,$X85)=1,"Letter of credit expired. ","")),IF($W85="V",IF(INDEX(Units!$H$5:$H$54,$X85)&lt;&gt;"","Vacant. A signed lease starts on the Lease start date.","Vacant."),""))</f>
        <v/>
      </c>
      <c r="U85" s="16" t="str">
        <f>IF($W85="L",IF(INDEX(Leases!$R$5:$R$34,$X85)="","",INDEX(Leases!$R$5:$R$34,$X85)),IF($W85="V",IF(INDEX(Units!$D$5:$D$54,$X85)="","",INDEX(Units!$D$5:$D$54,$X85)),""))</f>
        <v/>
      </c>
      <c r="W85" s="15" t="str">
        <f>IF((ROW()-ROW($A$9))&lt;=$W$7,"L",IF((ROW()-ROW($A$9))&lt;=$W$7+$X$7,"V",""))</f>
        <v/>
      </c>
      <c r="X85" s="15" t="str">
        <f>IF(W85="L",MATCH((ROW()-ROW($A$9)),Leases!$AQ$5:$AQ$34,0),IF(W85="V",MATCH((ROW()-ROW($A$9))-$W$7,Units!$J$5:$J$54,0),""))</f>
        <v/>
      </c>
      <c r="Y85" s="15">
        <f>IF(W85="L",INDEX(Leases!$AI$5:$AI$34,$X85),0)</f>
        <v>0</v>
      </c>
    </row>
    <row r="86">
      <c r="A86" s="15" t="str">
        <f>IF($W86="","",(ROW()-ROW($A$9)))</f>
        <v/>
      </c>
      <c r="B86" s="16" t="str">
        <f>IF($W86="L",IF(INDEX(Leases!$A$5:$A$34,$X86)="","",INDEX(Leases!$A$5:$A$34,$X86)),IF($W86="V","Vacant",""))</f>
        <v/>
      </c>
      <c r="C86" s="16" t="str">
        <f>IF($W86="L",IF(INDEX(Leases!$V$5:$V$34,$X86)="","",INDEX(Leases!$V$5:$V$34,$X86)),IF($W86="V",IF(INDEX(Units!$A$5:$A$54,$X86)="","",INDEX(Units!$A$5:$A$54,$X86)),""))</f>
        <v/>
      </c>
      <c r="D86" s="16" t="str">
        <f>IF($W86="L",IF(INDEX(Leases!$B$5:$B$34,$X86)="","",INDEX(Leases!$B$5:$B$34,$X86)),IF($W86="V","",""))</f>
        <v/>
      </c>
      <c r="E86" s="17" t="str">
        <f>IF($W86="L",INDEX(Leases!$W$5:$W$34,$X86),IF($W86="V",IF(INDEX(Units!$B$5:$B$54,$X86)="","",INDEX(Units!$B$5:$B$54,$X86)),""))</f>
        <v/>
      </c>
      <c r="F86" s="18" t="str">
        <f>IF($W86="L",IF(INDEX(Leases!$C$5:$C$34,$X86)="","",INDEX(Leases!$C$5:$C$34,$X86)),IF($W86="V",IF(INDEX(Units!$H$5:$H$54,$X86)="","",INDEX(Units!$H$5:$H$54,$X86)),""))</f>
        <v/>
      </c>
      <c r="G86" s="18" t="str">
        <f>IF($W86="L",IF(INDEX(Leases!$D$5:$D$34,$X86)="","No end date",INDEX(Leases!$D$5:$D$34,$X86)),IF($W86="V","",""))</f>
        <v/>
      </c>
      <c r="H86" s="18" t="str">
        <f>IF($W86="L",IF(INDEX(Leases!$E$5:$E$34,$X86)="","",INDEX(Leases!$E$5:$E$34,$X86)),IF($W86="V","",""))</f>
        <v/>
      </c>
      <c r="I86" s="19" t="str">
        <f>IF($W86="L",IF(INDEX(Leases!$X$5:$X$34,$X86)="","",INDEX(Leases!$X$5:$X$34,$X86)),IF($W86="V","",""))</f>
        <v/>
      </c>
      <c r="J86" s="19" t="str">
        <f>IF($W86="L",IF(INDEX(Leases!$Z$5:$Z$34,$X86)="","",INDEX(Leases!$Z$5:$Z$34,$X86)),IF($W86="V","",""))</f>
        <v/>
      </c>
      <c r="K86" s="19" t="str">
        <f>IF($W86="L",IF(INDEX(Leases!$Y$5:$Y$34,$X86)="","",INDEX(Leases!$Y$5:$Y$34,$X86)),IF($W86="V","",""))</f>
        <v/>
      </c>
      <c r="L86" s="19" t="str">
        <f>IF($W86="L",IF(INDEX(Leases!$M$5:$M$34,$X86)="","",INDEX(Leases!$M$5:$M$34,$X86)),IF($W86="V","",""))</f>
        <v/>
      </c>
      <c r="M86" s="18" t="str">
        <f>IF($W86="L",IF(INDEX(Leases!$AA$5:$AA$34,$X86)="","",INDEX(Leases!$AA$5:$AA$34,$X86)),IF($W86="V","",""))</f>
        <v/>
      </c>
      <c r="N86" s="19" t="str">
        <f>IF($W86="L",IF(INDEX(Leases!$AB$5:$AB$34,$X86)="","",INDEX(Leases!$AB$5:$AB$34,$X86)),IF($W86="V","",""))</f>
        <v/>
      </c>
      <c r="O86" s="20" t="str">
        <f>IF($W86="L",IF(INDEX(Leases!$AD$5:$AD$34,$X86)=1,INDEX(Leases!$J$5:$J$34,$X86),""),IF($W86="V","",""))</f>
        <v/>
      </c>
      <c r="P86" s="18" t="str">
        <f>IF($W86="L",IF(INDEX(Leases!$AD$5:$AD$34,$X86)=1,INDEX(Leases!$L$5:$L$34,$X86),""),IF($W86="V","",""))</f>
        <v/>
      </c>
      <c r="Q86" s="19" t="str">
        <f>IF($W86="L",INDEX(Leases!$AE$5:$AE$34,$X86),IF($W86="V","",""))</f>
        <v/>
      </c>
      <c r="R86" s="19" t="str">
        <f>IF($W86="L",INDEX(Leases!$AF$5:$AF$34,$X86),IF($W86="V","",""))</f>
        <v/>
      </c>
      <c r="S86" s="19" t="str">
        <f>IF($W86="L",IF(INDEX(Leases!$AH$5:$AH$34,$X86)="","",INDEX(Leases!$AH$5:$AH$34,$X86)),IF($W86="V","",""))</f>
        <v/>
      </c>
      <c r="T86" s="16" t="str">
        <f>IF($W86="L",TRIM(IF(INDEX(Leases!$AJ$5:$AJ$34,$X86)=1,"Awaiting index: not in rent totals. ","")&amp;IF(INDEX(Leases!$AC$5:$AC$34,$X86)=1,"Rent not started. ","")&amp;IF(INDEX(Leases!$AD$5:$AD$34,$X86)=1,"Abated on the date. ","")&amp;IF(INDEX(Leases!$AG$5:$AG$34,$X86)=1,"Letter of credit expired. ","")),IF($W86="V",IF(INDEX(Units!$H$5:$H$54,$X86)&lt;&gt;"","Vacant. A signed lease starts on the Lease start date.","Vacant."),""))</f>
        <v/>
      </c>
      <c r="U86" s="16" t="str">
        <f>IF($W86="L",IF(INDEX(Leases!$R$5:$R$34,$X86)="","",INDEX(Leases!$R$5:$R$34,$X86)),IF($W86="V",IF(INDEX(Units!$D$5:$D$54,$X86)="","",INDEX(Units!$D$5:$D$54,$X86)),""))</f>
        <v/>
      </c>
      <c r="W86" s="15" t="str">
        <f>IF((ROW()-ROW($A$9))&lt;=$W$7,"L",IF((ROW()-ROW($A$9))&lt;=$W$7+$X$7,"V",""))</f>
        <v/>
      </c>
      <c r="X86" s="15" t="str">
        <f>IF(W86="L",MATCH((ROW()-ROW($A$9)),Leases!$AQ$5:$AQ$34,0),IF(W86="V",MATCH((ROW()-ROW($A$9))-$W$7,Units!$J$5:$J$54,0),""))</f>
        <v/>
      </c>
      <c r="Y86" s="15">
        <f>IF(W86="L",INDEX(Leases!$AI$5:$AI$34,$X86),0)</f>
        <v>0</v>
      </c>
    </row>
    <row r="87">
      <c r="A87" s="15" t="str">
        <f>IF($W87="","",(ROW()-ROW($A$9)))</f>
        <v/>
      </c>
      <c r="B87" s="16" t="str">
        <f>IF($W87="L",IF(INDEX(Leases!$A$5:$A$34,$X87)="","",INDEX(Leases!$A$5:$A$34,$X87)),IF($W87="V","Vacant",""))</f>
        <v/>
      </c>
      <c r="C87" s="16" t="str">
        <f>IF($W87="L",IF(INDEX(Leases!$V$5:$V$34,$X87)="","",INDEX(Leases!$V$5:$V$34,$X87)),IF($W87="V",IF(INDEX(Units!$A$5:$A$54,$X87)="","",INDEX(Units!$A$5:$A$54,$X87)),""))</f>
        <v/>
      </c>
      <c r="D87" s="16" t="str">
        <f>IF($W87="L",IF(INDEX(Leases!$B$5:$B$34,$X87)="","",INDEX(Leases!$B$5:$B$34,$X87)),IF($W87="V","",""))</f>
        <v/>
      </c>
      <c r="E87" s="17" t="str">
        <f>IF($W87="L",INDEX(Leases!$W$5:$W$34,$X87),IF($W87="V",IF(INDEX(Units!$B$5:$B$54,$X87)="","",INDEX(Units!$B$5:$B$54,$X87)),""))</f>
        <v/>
      </c>
      <c r="F87" s="18" t="str">
        <f>IF($W87="L",IF(INDEX(Leases!$C$5:$C$34,$X87)="","",INDEX(Leases!$C$5:$C$34,$X87)),IF($W87="V",IF(INDEX(Units!$H$5:$H$54,$X87)="","",INDEX(Units!$H$5:$H$54,$X87)),""))</f>
        <v/>
      </c>
      <c r="G87" s="18" t="str">
        <f>IF($W87="L",IF(INDEX(Leases!$D$5:$D$34,$X87)="","No end date",INDEX(Leases!$D$5:$D$34,$X87)),IF($W87="V","",""))</f>
        <v/>
      </c>
      <c r="H87" s="18" t="str">
        <f>IF($W87="L",IF(INDEX(Leases!$E$5:$E$34,$X87)="","",INDEX(Leases!$E$5:$E$34,$X87)),IF($W87="V","",""))</f>
        <v/>
      </c>
      <c r="I87" s="19" t="str">
        <f>IF($W87="L",IF(INDEX(Leases!$X$5:$X$34,$X87)="","",INDEX(Leases!$X$5:$X$34,$X87)),IF($W87="V","",""))</f>
        <v/>
      </c>
      <c r="J87" s="19" t="str">
        <f>IF($W87="L",IF(INDEX(Leases!$Z$5:$Z$34,$X87)="","",INDEX(Leases!$Z$5:$Z$34,$X87)),IF($W87="V","",""))</f>
        <v/>
      </c>
      <c r="K87" s="19" t="str">
        <f>IF($W87="L",IF(INDEX(Leases!$Y$5:$Y$34,$X87)="","",INDEX(Leases!$Y$5:$Y$34,$X87)),IF($W87="V","",""))</f>
        <v/>
      </c>
      <c r="L87" s="19" t="str">
        <f>IF($W87="L",IF(INDEX(Leases!$M$5:$M$34,$X87)="","",INDEX(Leases!$M$5:$M$34,$X87)),IF($W87="V","",""))</f>
        <v/>
      </c>
      <c r="M87" s="18" t="str">
        <f>IF($W87="L",IF(INDEX(Leases!$AA$5:$AA$34,$X87)="","",INDEX(Leases!$AA$5:$AA$34,$X87)),IF($W87="V","",""))</f>
        <v/>
      </c>
      <c r="N87" s="19" t="str">
        <f>IF($W87="L",IF(INDEX(Leases!$AB$5:$AB$34,$X87)="","",INDEX(Leases!$AB$5:$AB$34,$X87)),IF($W87="V","",""))</f>
        <v/>
      </c>
      <c r="O87" s="20" t="str">
        <f>IF($W87="L",IF(INDEX(Leases!$AD$5:$AD$34,$X87)=1,INDEX(Leases!$J$5:$J$34,$X87),""),IF($W87="V","",""))</f>
        <v/>
      </c>
      <c r="P87" s="18" t="str">
        <f>IF($W87="L",IF(INDEX(Leases!$AD$5:$AD$34,$X87)=1,INDEX(Leases!$L$5:$L$34,$X87),""),IF($W87="V","",""))</f>
        <v/>
      </c>
      <c r="Q87" s="19" t="str">
        <f>IF($W87="L",INDEX(Leases!$AE$5:$AE$34,$X87),IF($W87="V","",""))</f>
        <v/>
      </c>
      <c r="R87" s="19" t="str">
        <f>IF($W87="L",INDEX(Leases!$AF$5:$AF$34,$X87),IF($W87="V","",""))</f>
        <v/>
      </c>
      <c r="S87" s="19" t="str">
        <f>IF($W87="L",IF(INDEX(Leases!$AH$5:$AH$34,$X87)="","",INDEX(Leases!$AH$5:$AH$34,$X87)),IF($W87="V","",""))</f>
        <v/>
      </c>
      <c r="T87" s="16" t="str">
        <f>IF($W87="L",TRIM(IF(INDEX(Leases!$AJ$5:$AJ$34,$X87)=1,"Awaiting index: not in rent totals. ","")&amp;IF(INDEX(Leases!$AC$5:$AC$34,$X87)=1,"Rent not started. ","")&amp;IF(INDEX(Leases!$AD$5:$AD$34,$X87)=1,"Abated on the date. ","")&amp;IF(INDEX(Leases!$AG$5:$AG$34,$X87)=1,"Letter of credit expired. ","")),IF($W87="V",IF(INDEX(Units!$H$5:$H$54,$X87)&lt;&gt;"","Vacant. A signed lease starts on the Lease start date.","Vacant."),""))</f>
        <v/>
      </c>
      <c r="U87" s="16" t="str">
        <f>IF($W87="L",IF(INDEX(Leases!$R$5:$R$34,$X87)="","",INDEX(Leases!$R$5:$R$34,$X87)),IF($W87="V",IF(INDEX(Units!$D$5:$D$54,$X87)="","",INDEX(Units!$D$5:$D$54,$X87)),""))</f>
        <v/>
      </c>
      <c r="W87" s="15" t="str">
        <f>IF((ROW()-ROW($A$9))&lt;=$W$7,"L",IF((ROW()-ROW($A$9))&lt;=$W$7+$X$7,"V",""))</f>
        <v/>
      </c>
      <c r="X87" s="15" t="str">
        <f>IF(W87="L",MATCH((ROW()-ROW($A$9)),Leases!$AQ$5:$AQ$34,0),IF(W87="V",MATCH((ROW()-ROW($A$9))-$W$7,Units!$J$5:$J$54,0),""))</f>
        <v/>
      </c>
      <c r="Y87" s="15">
        <f>IF(W87="L",INDEX(Leases!$AI$5:$AI$34,$X87),0)</f>
        <v>0</v>
      </c>
    </row>
    <row r="88">
      <c r="A88" s="15" t="str">
        <f>IF($W88="","",(ROW()-ROW($A$9)))</f>
        <v/>
      </c>
      <c r="B88" s="16" t="str">
        <f>IF($W88="L",IF(INDEX(Leases!$A$5:$A$34,$X88)="","",INDEX(Leases!$A$5:$A$34,$X88)),IF($W88="V","Vacant",""))</f>
        <v/>
      </c>
      <c r="C88" s="16" t="str">
        <f>IF($W88="L",IF(INDEX(Leases!$V$5:$V$34,$X88)="","",INDEX(Leases!$V$5:$V$34,$X88)),IF($W88="V",IF(INDEX(Units!$A$5:$A$54,$X88)="","",INDEX(Units!$A$5:$A$54,$X88)),""))</f>
        <v/>
      </c>
      <c r="D88" s="16" t="str">
        <f>IF($W88="L",IF(INDEX(Leases!$B$5:$B$34,$X88)="","",INDEX(Leases!$B$5:$B$34,$X88)),IF($W88="V","",""))</f>
        <v/>
      </c>
      <c r="E88" s="17" t="str">
        <f>IF($W88="L",INDEX(Leases!$W$5:$W$34,$X88),IF($W88="V",IF(INDEX(Units!$B$5:$B$54,$X88)="","",INDEX(Units!$B$5:$B$54,$X88)),""))</f>
        <v/>
      </c>
      <c r="F88" s="18" t="str">
        <f>IF($W88="L",IF(INDEX(Leases!$C$5:$C$34,$X88)="","",INDEX(Leases!$C$5:$C$34,$X88)),IF($W88="V",IF(INDEX(Units!$H$5:$H$54,$X88)="","",INDEX(Units!$H$5:$H$54,$X88)),""))</f>
        <v/>
      </c>
      <c r="G88" s="18" t="str">
        <f>IF($W88="L",IF(INDEX(Leases!$D$5:$D$34,$X88)="","No end date",INDEX(Leases!$D$5:$D$34,$X88)),IF($W88="V","",""))</f>
        <v/>
      </c>
      <c r="H88" s="18" t="str">
        <f>IF($W88="L",IF(INDEX(Leases!$E$5:$E$34,$X88)="","",INDEX(Leases!$E$5:$E$34,$X88)),IF($W88="V","",""))</f>
        <v/>
      </c>
      <c r="I88" s="19" t="str">
        <f>IF($W88="L",IF(INDEX(Leases!$X$5:$X$34,$X88)="","",INDEX(Leases!$X$5:$X$34,$X88)),IF($W88="V","",""))</f>
        <v/>
      </c>
      <c r="J88" s="19" t="str">
        <f>IF($W88="L",IF(INDEX(Leases!$Z$5:$Z$34,$X88)="","",INDEX(Leases!$Z$5:$Z$34,$X88)),IF($W88="V","",""))</f>
        <v/>
      </c>
      <c r="K88" s="19" t="str">
        <f>IF($W88="L",IF(INDEX(Leases!$Y$5:$Y$34,$X88)="","",INDEX(Leases!$Y$5:$Y$34,$X88)),IF($W88="V","",""))</f>
        <v/>
      </c>
      <c r="L88" s="19" t="str">
        <f>IF($W88="L",IF(INDEX(Leases!$M$5:$M$34,$X88)="","",INDEX(Leases!$M$5:$M$34,$X88)),IF($W88="V","",""))</f>
        <v/>
      </c>
      <c r="M88" s="18" t="str">
        <f>IF($W88="L",IF(INDEX(Leases!$AA$5:$AA$34,$X88)="","",INDEX(Leases!$AA$5:$AA$34,$X88)),IF($W88="V","",""))</f>
        <v/>
      </c>
      <c r="N88" s="19" t="str">
        <f>IF($W88="L",IF(INDEX(Leases!$AB$5:$AB$34,$X88)="","",INDEX(Leases!$AB$5:$AB$34,$X88)),IF($W88="V","",""))</f>
        <v/>
      </c>
      <c r="O88" s="20" t="str">
        <f>IF($W88="L",IF(INDEX(Leases!$AD$5:$AD$34,$X88)=1,INDEX(Leases!$J$5:$J$34,$X88),""),IF($W88="V","",""))</f>
        <v/>
      </c>
      <c r="P88" s="18" t="str">
        <f>IF($W88="L",IF(INDEX(Leases!$AD$5:$AD$34,$X88)=1,INDEX(Leases!$L$5:$L$34,$X88),""),IF($W88="V","",""))</f>
        <v/>
      </c>
      <c r="Q88" s="19" t="str">
        <f>IF($W88="L",INDEX(Leases!$AE$5:$AE$34,$X88),IF($W88="V","",""))</f>
        <v/>
      </c>
      <c r="R88" s="19" t="str">
        <f>IF($W88="L",INDEX(Leases!$AF$5:$AF$34,$X88),IF($W88="V","",""))</f>
        <v/>
      </c>
      <c r="S88" s="19" t="str">
        <f>IF($W88="L",IF(INDEX(Leases!$AH$5:$AH$34,$X88)="","",INDEX(Leases!$AH$5:$AH$34,$X88)),IF($W88="V","",""))</f>
        <v/>
      </c>
      <c r="T88" s="16" t="str">
        <f>IF($W88="L",TRIM(IF(INDEX(Leases!$AJ$5:$AJ$34,$X88)=1,"Awaiting index: not in rent totals. ","")&amp;IF(INDEX(Leases!$AC$5:$AC$34,$X88)=1,"Rent not started. ","")&amp;IF(INDEX(Leases!$AD$5:$AD$34,$X88)=1,"Abated on the date. ","")&amp;IF(INDEX(Leases!$AG$5:$AG$34,$X88)=1,"Letter of credit expired. ","")),IF($W88="V",IF(INDEX(Units!$H$5:$H$54,$X88)&lt;&gt;"","Vacant. A signed lease starts on the Lease start date.","Vacant."),""))</f>
        <v/>
      </c>
      <c r="U88" s="16" t="str">
        <f>IF($W88="L",IF(INDEX(Leases!$R$5:$R$34,$X88)="","",INDEX(Leases!$R$5:$R$34,$X88)),IF($W88="V",IF(INDEX(Units!$D$5:$D$54,$X88)="","",INDEX(Units!$D$5:$D$54,$X88)),""))</f>
        <v/>
      </c>
      <c r="W88" s="15" t="str">
        <f>IF((ROW()-ROW($A$9))&lt;=$W$7,"L",IF((ROW()-ROW($A$9))&lt;=$W$7+$X$7,"V",""))</f>
        <v/>
      </c>
      <c r="X88" s="15" t="str">
        <f>IF(W88="L",MATCH((ROW()-ROW($A$9)),Leases!$AQ$5:$AQ$34,0),IF(W88="V",MATCH((ROW()-ROW($A$9))-$W$7,Units!$J$5:$J$54,0),""))</f>
        <v/>
      </c>
      <c r="Y88" s="15">
        <f>IF(W88="L",INDEX(Leases!$AI$5:$AI$34,$X88),0)</f>
        <v>0</v>
      </c>
    </row>
    <row r="89">
      <c r="A89" s="15" t="str">
        <f>IF($W89="","",(ROW()-ROW($A$9)))</f>
        <v/>
      </c>
      <c r="B89" s="16" t="str">
        <f>IF($W89="L",IF(INDEX(Leases!$A$5:$A$34,$X89)="","",INDEX(Leases!$A$5:$A$34,$X89)),IF($W89="V","Vacant",""))</f>
        <v/>
      </c>
      <c r="C89" s="16" t="str">
        <f>IF($W89="L",IF(INDEX(Leases!$V$5:$V$34,$X89)="","",INDEX(Leases!$V$5:$V$34,$X89)),IF($W89="V",IF(INDEX(Units!$A$5:$A$54,$X89)="","",INDEX(Units!$A$5:$A$54,$X89)),""))</f>
        <v/>
      </c>
      <c r="D89" s="16" t="str">
        <f>IF($W89="L",IF(INDEX(Leases!$B$5:$B$34,$X89)="","",INDEX(Leases!$B$5:$B$34,$X89)),IF($W89="V","",""))</f>
        <v/>
      </c>
      <c r="E89" s="17" t="str">
        <f>IF($W89="L",INDEX(Leases!$W$5:$W$34,$X89),IF($W89="V",IF(INDEX(Units!$B$5:$B$54,$X89)="","",INDEX(Units!$B$5:$B$54,$X89)),""))</f>
        <v/>
      </c>
      <c r="F89" s="18" t="str">
        <f>IF($W89="L",IF(INDEX(Leases!$C$5:$C$34,$X89)="","",INDEX(Leases!$C$5:$C$34,$X89)),IF($W89="V",IF(INDEX(Units!$H$5:$H$54,$X89)="","",INDEX(Units!$H$5:$H$54,$X89)),""))</f>
        <v/>
      </c>
      <c r="G89" s="18" t="str">
        <f>IF($W89="L",IF(INDEX(Leases!$D$5:$D$34,$X89)="","No end date",INDEX(Leases!$D$5:$D$34,$X89)),IF($W89="V","",""))</f>
        <v/>
      </c>
      <c r="H89" s="18" t="str">
        <f>IF($W89="L",IF(INDEX(Leases!$E$5:$E$34,$X89)="","",INDEX(Leases!$E$5:$E$34,$X89)),IF($W89="V","",""))</f>
        <v/>
      </c>
      <c r="I89" s="19" t="str">
        <f>IF($W89="L",IF(INDEX(Leases!$X$5:$X$34,$X89)="","",INDEX(Leases!$X$5:$X$34,$X89)),IF($W89="V","",""))</f>
        <v/>
      </c>
      <c r="J89" s="19" t="str">
        <f>IF($W89="L",IF(INDEX(Leases!$Z$5:$Z$34,$X89)="","",INDEX(Leases!$Z$5:$Z$34,$X89)),IF($W89="V","",""))</f>
        <v/>
      </c>
      <c r="K89" s="19" t="str">
        <f>IF($W89="L",IF(INDEX(Leases!$Y$5:$Y$34,$X89)="","",INDEX(Leases!$Y$5:$Y$34,$X89)),IF($W89="V","",""))</f>
        <v/>
      </c>
      <c r="L89" s="19" t="str">
        <f>IF($W89="L",IF(INDEX(Leases!$M$5:$M$34,$X89)="","",INDEX(Leases!$M$5:$M$34,$X89)),IF($W89="V","",""))</f>
        <v/>
      </c>
      <c r="M89" s="18" t="str">
        <f>IF($W89="L",IF(INDEX(Leases!$AA$5:$AA$34,$X89)="","",INDEX(Leases!$AA$5:$AA$34,$X89)),IF($W89="V","",""))</f>
        <v/>
      </c>
      <c r="N89" s="19" t="str">
        <f>IF($W89="L",IF(INDEX(Leases!$AB$5:$AB$34,$X89)="","",INDEX(Leases!$AB$5:$AB$34,$X89)),IF($W89="V","",""))</f>
        <v/>
      </c>
      <c r="O89" s="20" t="str">
        <f>IF($W89="L",IF(INDEX(Leases!$AD$5:$AD$34,$X89)=1,INDEX(Leases!$J$5:$J$34,$X89),""),IF($W89="V","",""))</f>
        <v/>
      </c>
      <c r="P89" s="18" t="str">
        <f>IF($W89="L",IF(INDEX(Leases!$AD$5:$AD$34,$X89)=1,INDEX(Leases!$L$5:$L$34,$X89),""),IF($W89="V","",""))</f>
        <v/>
      </c>
      <c r="Q89" s="19" t="str">
        <f>IF($W89="L",INDEX(Leases!$AE$5:$AE$34,$X89),IF($W89="V","",""))</f>
        <v/>
      </c>
      <c r="R89" s="19" t="str">
        <f>IF($W89="L",INDEX(Leases!$AF$5:$AF$34,$X89),IF($W89="V","",""))</f>
        <v/>
      </c>
      <c r="S89" s="19" t="str">
        <f>IF($W89="L",IF(INDEX(Leases!$AH$5:$AH$34,$X89)="","",INDEX(Leases!$AH$5:$AH$34,$X89)),IF($W89="V","",""))</f>
        <v/>
      </c>
      <c r="T89" s="16" t="str">
        <f>IF($W89="L",TRIM(IF(INDEX(Leases!$AJ$5:$AJ$34,$X89)=1,"Awaiting index: not in rent totals. ","")&amp;IF(INDEX(Leases!$AC$5:$AC$34,$X89)=1,"Rent not started. ","")&amp;IF(INDEX(Leases!$AD$5:$AD$34,$X89)=1,"Abated on the date. ","")&amp;IF(INDEX(Leases!$AG$5:$AG$34,$X89)=1,"Letter of credit expired. ","")),IF($W89="V",IF(INDEX(Units!$H$5:$H$54,$X89)&lt;&gt;"","Vacant. A signed lease starts on the Lease start date.","Vacant."),""))</f>
        <v/>
      </c>
      <c r="U89" s="16" t="str">
        <f>IF($W89="L",IF(INDEX(Leases!$R$5:$R$34,$X89)="","",INDEX(Leases!$R$5:$R$34,$X89)),IF($W89="V",IF(INDEX(Units!$D$5:$D$54,$X89)="","",INDEX(Units!$D$5:$D$54,$X89)),""))</f>
        <v/>
      </c>
      <c r="W89" s="15" t="str">
        <f>IF((ROW()-ROW($A$9))&lt;=$W$7,"L",IF((ROW()-ROW($A$9))&lt;=$W$7+$X$7,"V",""))</f>
        <v/>
      </c>
      <c r="X89" s="15" t="str">
        <f>IF(W89="L",MATCH((ROW()-ROW($A$9)),Leases!$AQ$5:$AQ$34,0),IF(W89="V",MATCH((ROW()-ROW($A$9))-$W$7,Units!$J$5:$J$54,0),""))</f>
        <v/>
      </c>
      <c r="Y89" s="15">
        <f>IF(W89="L",INDEX(Leases!$AI$5:$AI$34,$X89),0)</f>
        <v>0</v>
      </c>
    </row>
    <row r="91">
      <c r="D91" s="21" t="inlineStr">
        <is>
          <t>Totals on the date</t>
        </is>
      </c>
    </row>
    <row r="92">
      <c r="D92" s="22" t="inlineStr">
        <is>
          <t>Units</t>
        </is>
      </c>
      <c r="E92" s="13">
        <f>Units!$B$56</f>
        <v>4</v>
      </c>
    </row>
    <row r="93">
      <c r="D93" s="22" t="inlineStr">
        <is>
          <t>Leased units</t>
        </is>
      </c>
      <c r="E93" s="23">
        <f>SUM(Units!F5:F54)</f>
        <v>3</v>
      </c>
    </row>
    <row r="94">
      <c r="D94" s="22" t="inlineStr">
        <is>
          <t>Vacant units</t>
        </is>
      </c>
      <c r="E94" s="23">
        <f>SUM(Units!I5:I54)</f>
        <v>1</v>
      </c>
    </row>
    <row r="95">
      <c r="D95" s="22" t="inlineStr">
        <is>
          <t>Units area (sq ft)</t>
        </is>
      </c>
      <c r="E95" s="24">
        <f>SUM(Units!B5:B54)</f>
        <v>5000</v>
      </c>
    </row>
    <row r="96">
      <c r="D96" s="21" t="inlineStr">
        <is>
          <t>Leased area (sq ft)</t>
        </is>
      </c>
      <c r="E96" s="24">
        <f>SUMIFS(E10:E89,W10:W89,"L")</f>
        <v>4000</v>
      </c>
    </row>
    <row r="97">
      <c r="D97" s="22" t="inlineStr">
        <is>
          <t>Vacant area (sq ft)</t>
        </is>
      </c>
      <c r="E97" s="24">
        <f>SUMIFS(E10:E89,W10:W89,"V")</f>
        <v>1000</v>
      </c>
    </row>
    <row r="98">
      <c r="D98" s="22" t="inlineStr">
        <is>
          <t>Occupancy by area</t>
        </is>
      </c>
      <c r="E98" s="25">
        <f>IF(E95&gt;0,E96/E95,"")</f>
        <v>0.8</v>
      </c>
    </row>
    <row r="99">
      <c r="D99" s="22" t="inlineStr">
        <is>
          <t>Occupancy by units</t>
        </is>
      </c>
      <c r="E99" s="25">
        <f>IF(E92&gt;0,E93/E92,"")</f>
        <v>0.75</v>
      </c>
    </row>
    <row r="100">
      <c r="D100" s="21" t="inlineStr">
        <is>
          <t>Monthly base rent, contract (known rents)</t>
        </is>
      </c>
      <c r="E100" s="26">
        <f>SUM(I10:I89)</f>
        <v>9250</v>
      </c>
    </row>
    <row r="101">
      <c r="D101" s="22" t="inlineStr">
        <is>
          <t>Annual base rent</t>
        </is>
      </c>
      <c r="E101" s="26">
        <f>SUM(K10:K89)</f>
        <v>111000</v>
      </c>
    </row>
    <row r="102">
      <c r="D102" s="22" t="inlineStr">
        <is>
          <t>Area with a known rent (sq ft)</t>
        </is>
      </c>
      <c r="E102" s="24">
        <f>SUMIFS(E10:E89,Y10:Y89,1)</f>
        <v>4000</v>
      </c>
    </row>
    <row r="103">
      <c r="D103" s="21" t="inlineStr">
        <is>
          <t>Average rent per sq ft per year</t>
        </is>
      </c>
      <c r="E103" s="26">
        <f>IF(E102&gt;0,ROUND(E101/E102,2),"")</f>
        <v>27.75</v>
      </c>
    </row>
    <row r="104">
      <c r="D104" s="22" t="inlineStr">
        <is>
          <t>CAM / recovery estimates, monthly</t>
        </is>
      </c>
      <c r="E104" s="26">
        <f>SUM(L10:L89)</f>
        <v>2100</v>
      </c>
    </row>
    <row r="105">
      <c r="D105" s="21" t="inlineStr">
        <is>
          <t>Not charged on the date</t>
        </is>
      </c>
      <c r="E105" s="26">
        <f>SUM(Q10:Q89)</f>
        <v>4250</v>
      </c>
    </row>
    <row r="106">
      <c r="D106" s="22" t="inlineStr">
        <is>
          <t>Deposits held</t>
        </is>
      </c>
      <c r="E106" s="26">
        <f>SUM(R10:R89)</f>
        <v>10000</v>
      </c>
    </row>
    <row r="107">
      <c r="D107" s="22" t="inlineStr">
        <is>
          <t>Tenant balances due</t>
        </is>
      </c>
      <c r="E107" s="26">
        <f>SUMIFS(S10:S89,S10:S89,"&gt;0")</f>
        <v>1250.5</v>
      </c>
    </row>
    <row r="108">
      <c r="D108" s="22" t="inlineStr">
        <is>
          <t>Tenant credits (shown apart, never netted)</t>
        </is>
      </c>
      <c r="E108" s="26">
        <f>-SUMIFS(S10:S89,S10:S89,"&lt;0")</f>
        <v>300</v>
      </c>
    </row>
    <row r="109">
      <c r="D109" s="22" t="inlineStr">
        <is>
          <t>Leases awaiting an index, not in rent totals</t>
        </is>
      </c>
      <c r="E109" s="23">
        <f>SUM(Leases!AJ5:AJ34)</f>
        <v>0</v>
      </c>
    </row>
    <row r="110">
      <c r="D110" s="22" t="inlineStr">
        <is>
          <t>Leases whose rent has not started</t>
        </is>
      </c>
      <c r="E110" s="23">
        <f>SUM(Leases!AC5:AC34)</f>
        <v>0</v>
      </c>
    </row>
    <row r="111">
      <c r="D111" s="22" t="inlineStr">
        <is>
          <t>Letters of credit expired on the date</t>
        </is>
      </c>
      <c r="E111" s="23">
        <f>SUM(Leases!AG5:AG34)</f>
        <v>1</v>
      </c>
    </row>
    <row r="113" ht="26" customHeight="1">
      <c r="A113" s="27" t="inlineStr">
        <is>
          <t>Rent is the contract rent before abatement. What is not billed on the date is shown beside it, never taken out of the total. A rent awaiting its index has no figure; it counts in occupancy and is named above. Balances due and credits are totaled apart.</t>
        </is>
      </c>
    </row>
    <row r="115">
      <c r="D115" s="21" t="inlineStr">
        <is>
          <t>The checks</t>
        </is>
      </c>
    </row>
    <row r="116">
      <c r="D116" s="22" t="inlineStr">
        <is>
          <t>As-of date entered</t>
        </is>
      </c>
      <c r="E116" s="28" t="str">
        <f>IFERROR(IF(ISNUMBER(B4),"✓","✗"),"✗")</f>
        <v>✓</v>
      </c>
      <c r="F116" s="8" t="inlineStr">
        <is>
          <t>Type a date in B4.</t>
        </is>
      </c>
    </row>
    <row r="117">
      <c r="D117" s="22" t="inlineStr">
        <is>
          <t>Every unit ID appears once</t>
        </is>
      </c>
      <c r="E117" s="28" t="str">
        <f>IFERROR(IF(SUM(Units!L5:L54)=0,"✓","✗"),"✗")</f>
        <v>✓</v>
      </c>
      <c r="F117" s="8" t="inlineStr">
        <is>
          <t>Units, column L marks the repeated unit.</t>
        </is>
      </c>
    </row>
    <row r="118">
      <c r="D118" s="22" t="inlineStr">
        <is>
          <t>Every lease ID appears once</t>
        </is>
      </c>
      <c r="E118" s="28" t="str">
        <f>IFERROR(IF(SUM(Leases!AS5:AS34)=0,"✓","✗"),"✗")</f>
        <v>✓</v>
      </c>
      <c r="F118" s="8" t="inlineStr">
        <is>
          <t>Leases, column AS marks the repeated ID.</t>
        </is>
      </c>
    </row>
    <row r="119">
      <c r="D119" s="22" t="inlineStr">
        <is>
          <t>Every Lease ID on Units exists on Leases</t>
        </is>
      </c>
      <c r="E119" s="28" t="str">
        <f>IFERROR(IF(SUM(Units!M5:M54)=0,"✓","✗"),"✗")</f>
        <v>✓</v>
      </c>
      <c r="F119" s="8" t="inlineStr">
        <is>
          <t>Units, column M marks the unit whose Lease ID is not on Leases.</t>
        </is>
      </c>
    </row>
    <row r="120">
      <c r="D120" s="22" t="inlineStr">
        <is>
          <t>Every lease has at least one unit</t>
        </is>
      </c>
      <c r="E120" s="28" t="str">
        <f>IFERROR(IF(SUM(Leases!AU5:AU34)=0,"✓","✗"),"✗")</f>
        <v>✓</v>
      </c>
      <c r="F120" s="8" t="inlineStr">
        <is>
          <t>Leases, column AU marks the lease no unit names.</t>
        </is>
      </c>
    </row>
    <row r="121">
      <c r="D121" s="22" t="inlineStr">
        <is>
          <t>Every unit has an ID and an area</t>
        </is>
      </c>
      <c r="E121" s="28" t="str">
        <f>IFERROR(IF(SUM(Units!N5:N54)=0,"✓","✗"),"✗")</f>
        <v>✓</v>
      </c>
      <c r="F121" s="8" t="inlineStr">
        <is>
          <t>Units, column N marks the row.</t>
        </is>
      </c>
    </row>
    <row r="122">
      <c r="D122" s="22" t="inlineStr">
        <is>
          <t>Lease dates and rents complete and in order</t>
        </is>
      </c>
      <c r="E122" s="28" t="str">
        <f>IFERROR(IF(SUM(Leases!AT5:AT34)=0,"✓","✗"),"✗")</f>
        <v>✓</v>
      </c>
      <c r="F122" s="8" t="inlineStr">
        <is>
          <t>Leases, column AT: dates and amounts typed as numbers, not text; Y or N in column I; a start date; an end, rent commencement or abatement end not before its start; an abatement between 0% and 100% with an end date; a next rent with its date; a rent unless awaiting an index.</t>
        </is>
      </c>
    </row>
    <row r="123">
      <c r="D123" s="22" t="inlineStr">
        <is>
          <t>Leased + vacant area = units area (two roads)</t>
        </is>
      </c>
      <c r="E123" s="28" t="str">
        <f>IFERROR(IF(ABS(SUMIFS(Leases!W5:W34,Leases!T5:T34,1)+Units!$B$60-E95)&lt;0.5,"✓","✗"),"✗")</f>
        <v>✓</v>
      </c>
      <c r="F123" s="8" t="inlineStr">
        <is>
          <t>A lease ID typed twice, or an area on a row with no unit.</t>
        </is>
      </c>
    </row>
    <row r="124">
      <c r="D124" s="22" t="inlineStr">
        <is>
          <t>The roll has every lease in force and every vacant unit</t>
        </is>
      </c>
      <c r="E124" s="28" t="str">
        <f>IFERROR(IF(AND(COUNTIF(W10:W89,"L")=$W$7,COUNTIF(W10:W89,"V")=$X$7),"✓","✗"),"✗")</f>
        <v>✓</v>
      </c>
      <c r="F124" s="8" t="inlineStr">
        <is>
          <t>Eighty lines at most.</t>
        </is>
      </c>
    </row>
    <row r="125">
      <c r="D125" s="22" t="inlineStr">
        <is>
          <t>The roll's rent = the leases' rent (two roads)</t>
        </is>
      </c>
      <c r="E125" s="28" t="str">
        <f>IFERROR(IF(ABS(E100-SUM(Leases!X5:X34))&lt;0.005,"✓","✗"),"✗")</f>
        <v>✓</v>
      </c>
      <c r="F125" s="8" t="inlineStr">
        <is>
          <t>A line lost between the Leases sheet and the roll.</t>
        </is>
      </c>
    </row>
    <row r="126">
      <c r="D126" s="22" t="inlineStr">
        <is>
          <t>Units area = building area entered</t>
        </is>
      </c>
      <c r="E126" s="28" t="str">
        <f>IFERROR(IF(OR(B5="",ABS(E95-B5)&lt;0.5),"✓","✗"),"✗")</f>
        <v>✓</v>
      </c>
      <c r="F126" s="8" t="inlineStr">
        <is>
          <t>Leave B5 blank to skip; else a unit is missing or mismeasured.</t>
        </is>
      </c>
    </row>
    <row r="127">
      <c r="D127" s="21" t="inlineStr">
        <is>
          <t>Checks that fail</t>
        </is>
      </c>
      <c r="E127" s="29">
        <f>11-COUNTIF(E116:E126,"✓")</f>
        <v>0</v>
      </c>
    </row>
  </sheetData>
  <mergeCells count="2">
    <mergeCell ref="B7:K7"/>
    <mergeCell ref="A113:U113"/>
  </mergeCells>
  <conditionalFormatting sqref="B7:K7">
    <cfRule type="expression" priority="1" dxfId="0" stopIfTrue="1">
      <formula>$E$127&gt;0</formula>
    </cfRule>
  </conditionalFormatting>
  <printOptions horizontalCentered="1"/>
  <pageMargins left="0.75" right="0.75" top="1" bottom="1"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N60"/>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1" customWidth="1" min="3" max="3"/>
    <col width="30" customWidth="1" min="4" max="4"/>
    <col width="8" customWidth="1" min="5" max="5"/>
    <col width="10" customWidth="1" min="6" max="6"/>
    <col width="24" customWidth="1" min="7" max="7"/>
    <col width="12" customWidth="1" min="8" max="8"/>
    <col width="9" customWidth="1" min="9" max="9"/>
    <col width="9" customWidth="1" min="10" max="10"/>
    <col width="9" customWidth="1" min="11" max="11"/>
    <col width="10" customWidth="1" min="12" max="12"/>
    <col width="10" customWidth="1" min="13" max="13"/>
    <col width="10" customWidth="1" min="14" max="14"/>
  </cols>
  <sheetData>
    <row r="1">
      <c r="A1" s="5" t="inlineStr">
        <is>
          <t>Units</t>
        </is>
      </c>
    </row>
    <row r="2">
      <c r="A2" s="8" t="inlineStr">
        <is>
          <t>One row per unit. Yellow cells are yours; the rest is computed. A unit names the lease that covers it (blank: no lease), so it can never be counted twice. Delete the example rows before entering your own.</t>
        </is>
      </c>
    </row>
    <row r="3">
      <c r="E3" s="30" t="inlineStr">
        <is>
          <t>Computed: leave these</t>
        </is>
      </c>
    </row>
    <row r="4" ht="42" customHeight="1">
      <c r="A4" s="14" t="inlineStr">
        <is>
          <t>Unit</t>
        </is>
      </c>
      <c r="B4" s="14" t="inlineStr">
        <is>
          <t>Area (sq ft)</t>
        </is>
      </c>
      <c r="C4" s="14" t="inlineStr">
        <is>
          <t>Lease ID</t>
        </is>
      </c>
      <c r="D4" s="14" t="inlineStr">
        <is>
          <t>Notes</t>
        </is>
      </c>
      <c r="E4" s="14" t="inlineStr">
        <is>
          <t>helper: lease row</t>
        </is>
      </c>
      <c r="F4" s="14" t="inlineStr">
        <is>
          <t>In force on the date (1/0)</t>
        </is>
      </c>
      <c r="G4" s="14" t="inlineStr">
        <is>
          <t>Status</t>
        </is>
      </c>
      <c r="H4" s="14" t="inlineStr">
        <is>
          <t>Next lease from</t>
        </is>
      </c>
      <c r="I4" s="14" t="inlineStr">
        <is>
          <t>Vacant (1/0)</t>
        </is>
      </c>
      <c r="J4" s="14" t="inlineStr">
        <is>
          <t>helper: vacant no.</t>
        </is>
      </c>
      <c r="K4" s="14" t="inlineStr">
        <is>
          <t>helper: key</t>
        </is>
      </c>
      <c r="L4" s="14" t="inlineStr">
        <is>
          <t>Duplicate unit (1/0)</t>
        </is>
      </c>
      <c r="M4" s="14" t="inlineStr">
        <is>
          <t>Unknown lease (1/0)</t>
        </is>
      </c>
      <c r="N4" s="14" t="inlineStr">
        <is>
          <t>ID or area missing (1/0)</t>
        </is>
      </c>
    </row>
    <row r="5">
      <c r="A5" s="7" t="n">
        <v>101</v>
      </c>
      <c r="B5" s="10" t="n">
        <v>1200</v>
      </c>
      <c r="C5" s="7" t="inlineStr">
        <is>
          <t>A</t>
        </is>
      </c>
      <c r="D5" s="7" t="n"/>
      <c r="E5" s="15">
        <f>IF(C5="","",IFERROR(MATCH(C5,Leases!$A$5:$A$34,0),"unknown"))</f>
        <v>1</v>
      </c>
      <c r="F5" s="15">
        <f>IF(OR(A5="",E5="",E5="unknown"),0,INDEX(Leases!$T$5:$T$34,E5))</f>
        <v>1</v>
      </c>
      <c r="G5" s="15" t="str">
        <f>IF(A5="","",IF(F5=1,"Leased",IF(H5&lt;&gt;"","Vacant · lease starts later","Vacant")))</f>
        <v>Leased</v>
      </c>
      <c r="H5" s="31" t="str">
        <f>IF(OR(A5="",E5="",E5="unknown"),"",IF(INDEX(Leases!$S$5:$S$34,E5)="Not started",INDEX(Leases!$C$5:$C$34,E5),""))</f>
        <v/>
      </c>
      <c r="I5" s="15">
        <f>IF(AND(A5&lt;&gt;"",F5=0),1,0)</f>
        <v>0</v>
      </c>
      <c r="J5" s="15" t="str">
        <f>IF(I5=1,COUNTIF($I$5:I5,1),"")</f>
        <v/>
      </c>
      <c r="K5" s="15" t="str">
        <f>IF(C5="","",C5&amp;"|"&amp;COUNTIF($C$5:C5,C5))</f>
        <v>A|1</v>
      </c>
      <c r="L5" s="15">
        <f>IF(A5="",0,IF(COUNTIF($A$5:$A$54,A5)&gt;1,1,0))</f>
        <v>0</v>
      </c>
      <c r="M5" s="15">
        <f>IF(E5="unknown",1,0)</f>
        <v>0</v>
      </c>
      <c r="N5" s="15">
        <f>IF(A5&lt;&gt;"",IF(OR(NOT(ISNUMBER(B5)),B5&lt;=0),1,0),IF(OR(B5&lt;&gt;"",C5&lt;&gt;""),1,0))</f>
        <v>0</v>
      </c>
    </row>
    <row r="6">
      <c r="A6" s="7" t="n">
        <v>102</v>
      </c>
      <c r="B6" s="10" t="n">
        <v>800</v>
      </c>
      <c r="C6" s="7" t="inlineStr">
        <is>
          <t>A</t>
        </is>
      </c>
      <c r="D6" s="7" t="n"/>
      <c r="E6" s="15">
        <f>IF(C6="","",IFERROR(MATCH(C6,Leases!$A$5:$A$34,0),"unknown"))</f>
        <v>1</v>
      </c>
      <c r="F6" s="15">
        <f>IF(OR(A6="",E6="",E6="unknown"),0,INDEX(Leases!$T$5:$T$34,E6))</f>
        <v>1</v>
      </c>
      <c r="G6" s="15" t="str">
        <f>IF(A6="","",IF(F6=1,"Leased",IF(H6&lt;&gt;"","Vacant · lease starts later","Vacant")))</f>
        <v>Leased</v>
      </c>
      <c r="H6" s="31" t="str">
        <f>IF(OR(A6="",E6="",E6="unknown"),"",IF(INDEX(Leases!$S$5:$S$34,E6)="Not started",INDEX(Leases!$C$5:$C$34,E6),""))</f>
        <v/>
      </c>
      <c r="I6" s="15">
        <f>IF(AND(A6&lt;&gt;"",F6=0),1,0)</f>
        <v>0</v>
      </c>
      <c r="J6" s="15" t="str">
        <f>IF(I6=1,COUNTIF($I$5:I6,1),"")</f>
        <v/>
      </c>
      <c r="K6" s="15" t="str">
        <f>IF(C6="","",C6&amp;"|"&amp;COUNTIF($C$5:C6,C6))</f>
        <v>A|2</v>
      </c>
      <c r="L6" s="15">
        <f>IF(A6="",0,IF(COUNTIF($A$5:$A$54,A6)&gt;1,1,0))</f>
        <v>0</v>
      </c>
      <c r="M6" s="15">
        <f>IF(E6="unknown",1,0)</f>
        <v>0</v>
      </c>
      <c r="N6" s="15">
        <f>IF(A6&lt;&gt;"",IF(OR(NOT(ISNUMBER(B6)),B6&lt;=0),1,0),IF(OR(B6&lt;&gt;"",C6&lt;&gt;""),1,0))</f>
        <v>0</v>
      </c>
    </row>
    <row r="7">
      <c r="A7" s="7" t="n">
        <v>103</v>
      </c>
      <c r="B7" s="10" t="n">
        <v>2000</v>
      </c>
      <c r="C7" s="7" t="inlineStr">
        <is>
          <t>B</t>
        </is>
      </c>
      <c r="D7" s="7" t="n"/>
      <c r="E7" s="15">
        <f>IF(C7="","",IFERROR(MATCH(C7,Leases!$A$5:$A$34,0),"unknown"))</f>
        <v>2</v>
      </c>
      <c r="F7" s="15">
        <f>IF(OR(A7="",E7="",E7="unknown"),0,INDEX(Leases!$T$5:$T$34,E7))</f>
        <v>1</v>
      </c>
      <c r="G7" s="15" t="str">
        <f>IF(A7="","",IF(F7=1,"Leased",IF(H7&lt;&gt;"","Vacant · lease starts later","Vacant")))</f>
        <v>Leased</v>
      </c>
      <c r="H7" s="31" t="str">
        <f>IF(OR(A7="",E7="",E7="unknown"),"",IF(INDEX(Leases!$S$5:$S$34,E7)="Not started",INDEX(Leases!$C$5:$C$34,E7),""))</f>
        <v/>
      </c>
      <c r="I7" s="15">
        <f>IF(AND(A7&lt;&gt;"",F7=0),1,0)</f>
        <v>0</v>
      </c>
      <c r="J7" s="15" t="str">
        <f>IF(I7=1,COUNTIF($I$5:I7,1),"")</f>
        <v/>
      </c>
      <c r="K7" s="15" t="str">
        <f>IF(C7="","",C7&amp;"|"&amp;COUNTIF($C$5:C7,C7))</f>
        <v>B|1</v>
      </c>
      <c r="L7" s="15">
        <f>IF(A7="",0,IF(COUNTIF($A$5:$A$54,A7)&gt;1,1,0))</f>
        <v>0</v>
      </c>
      <c r="M7" s="15">
        <f>IF(E7="unknown",1,0)</f>
        <v>0</v>
      </c>
      <c r="N7" s="15">
        <f>IF(A7&lt;&gt;"",IF(OR(NOT(ISNUMBER(B7)),B7&lt;=0),1,0),IF(OR(B7&lt;&gt;"",C7&lt;&gt;""),1,0))</f>
        <v>0</v>
      </c>
    </row>
    <row r="8">
      <c r="A8" s="7" t="n">
        <v>104</v>
      </c>
      <c r="B8" s="10" t="n">
        <v>1000</v>
      </c>
      <c r="C8" s="7" t="n"/>
      <c r="D8" s="7" t="n"/>
      <c r="E8" s="15" t="str">
        <f>IF(C8="","",IFERROR(MATCH(C8,Leases!$A$5:$A$34,0),"unknown"))</f>
        <v/>
      </c>
      <c r="F8" s="15">
        <f>IF(OR(A8="",E8="",E8="unknown"),0,INDEX(Leases!$T$5:$T$34,E8))</f>
        <v>0</v>
      </c>
      <c r="G8" s="15" t="str">
        <f>IF(A8="","",IF(F8=1,"Leased",IF(H8&lt;&gt;"","Vacant · lease starts later","Vacant")))</f>
        <v>Vacant</v>
      </c>
      <c r="H8" s="31" t="str">
        <f>IF(OR(A8="",E8="",E8="unknown"),"",IF(INDEX(Leases!$S$5:$S$34,E8)="Not started",INDEX(Leases!$C$5:$C$34,E8),""))</f>
        <v/>
      </c>
      <c r="I8" s="15">
        <f>IF(AND(A8&lt;&gt;"",F8=0),1,0)</f>
        <v>1</v>
      </c>
      <c r="J8" s="15">
        <f>IF(I8=1,COUNTIF($I$5:I8,1),"")</f>
        <v>1</v>
      </c>
      <c r="K8" s="15" t="str">
        <f>IF(C8="","",C8&amp;"|"&amp;COUNTIF($C$5:C8,C8))</f>
        <v/>
      </c>
      <c r="L8" s="15">
        <f>IF(A8="",0,IF(COUNTIF($A$5:$A$54,A8)&gt;1,1,0))</f>
        <v>0</v>
      </c>
      <c r="M8" s="15">
        <f>IF(E8="unknown",1,0)</f>
        <v>0</v>
      </c>
      <c r="N8" s="15">
        <f>IF(A8&lt;&gt;"",IF(OR(NOT(ISNUMBER(B8)),B8&lt;=0),1,0),IF(OR(B8&lt;&gt;"",C8&lt;&gt;""),1,0))</f>
        <v>0</v>
      </c>
    </row>
    <row r="9">
      <c r="A9" s="7" t="n"/>
      <c r="B9" s="10" t="n"/>
      <c r="C9" s="7" t="n"/>
      <c r="D9" s="7" t="n"/>
      <c r="E9" s="15" t="str">
        <f>IF(C9="","",IFERROR(MATCH(C9,Leases!$A$5:$A$34,0),"unknown"))</f>
        <v/>
      </c>
      <c r="F9" s="15">
        <f>IF(OR(A9="",E9="",E9="unknown"),0,INDEX(Leases!$T$5:$T$34,E9))</f>
        <v>0</v>
      </c>
      <c r="G9" s="15" t="str">
        <f>IF(A9="","",IF(F9=1,"Leased",IF(H9&lt;&gt;"","Vacant · lease starts later","Vacant")))</f>
        <v/>
      </c>
      <c r="H9" s="31" t="str">
        <f>IF(OR(A9="",E9="",E9="unknown"),"",IF(INDEX(Leases!$S$5:$S$34,E9)="Not started",INDEX(Leases!$C$5:$C$34,E9),""))</f>
        <v/>
      </c>
      <c r="I9" s="15">
        <f>IF(AND(A9&lt;&gt;"",F9=0),1,0)</f>
        <v>0</v>
      </c>
      <c r="J9" s="15" t="str">
        <f>IF(I9=1,COUNTIF($I$5:I9,1),"")</f>
        <v/>
      </c>
      <c r="K9" s="15" t="str">
        <f>IF(C9="","",C9&amp;"|"&amp;COUNTIF($C$5:C9,C9))</f>
        <v/>
      </c>
      <c r="L9" s="15">
        <f>IF(A9="",0,IF(COUNTIF($A$5:$A$54,A9)&gt;1,1,0))</f>
        <v>0</v>
      </c>
      <c r="M9" s="15">
        <f>IF(E9="unknown",1,0)</f>
        <v>0</v>
      </c>
      <c r="N9" s="15">
        <f>IF(A9&lt;&gt;"",IF(OR(NOT(ISNUMBER(B9)),B9&lt;=0),1,0),IF(OR(B9&lt;&gt;"",C9&lt;&gt;""),1,0))</f>
        <v>0</v>
      </c>
    </row>
    <row r="10">
      <c r="A10" s="7" t="n"/>
      <c r="B10" s="10" t="n"/>
      <c r="C10" s="7" t="n"/>
      <c r="D10" s="7" t="n"/>
      <c r="E10" s="15" t="str">
        <f>IF(C10="","",IFERROR(MATCH(C10,Leases!$A$5:$A$34,0),"unknown"))</f>
        <v/>
      </c>
      <c r="F10" s="15">
        <f>IF(OR(A10="",E10="",E10="unknown"),0,INDEX(Leases!$T$5:$T$34,E10))</f>
        <v>0</v>
      </c>
      <c r="G10" s="15" t="str">
        <f>IF(A10="","",IF(F10=1,"Leased",IF(H10&lt;&gt;"","Vacant · lease starts later","Vacant")))</f>
        <v/>
      </c>
      <c r="H10" s="31" t="str">
        <f>IF(OR(A10="",E10="",E10="unknown"),"",IF(INDEX(Leases!$S$5:$S$34,E10)="Not started",INDEX(Leases!$C$5:$C$34,E10),""))</f>
        <v/>
      </c>
      <c r="I10" s="15">
        <f>IF(AND(A10&lt;&gt;"",F10=0),1,0)</f>
        <v>0</v>
      </c>
      <c r="J10" s="15" t="str">
        <f>IF(I10=1,COUNTIF($I$5:I10,1),"")</f>
        <v/>
      </c>
      <c r="K10" s="15" t="str">
        <f>IF(C10="","",C10&amp;"|"&amp;COUNTIF($C$5:C10,C10))</f>
        <v/>
      </c>
      <c r="L10" s="15">
        <f>IF(A10="",0,IF(COUNTIF($A$5:$A$54,A10)&gt;1,1,0))</f>
        <v>0</v>
      </c>
      <c r="M10" s="15">
        <f>IF(E10="unknown",1,0)</f>
        <v>0</v>
      </c>
      <c r="N10" s="15">
        <f>IF(A10&lt;&gt;"",IF(OR(NOT(ISNUMBER(B10)),B10&lt;=0),1,0),IF(OR(B10&lt;&gt;"",C10&lt;&gt;""),1,0))</f>
        <v>0</v>
      </c>
    </row>
    <row r="11">
      <c r="A11" s="7" t="n"/>
      <c r="B11" s="10" t="n"/>
      <c r="C11" s="7" t="n"/>
      <c r="D11" s="7" t="n"/>
      <c r="E11" s="15" t="str">
        <f>IF(C11="","",IFERROR(MATCH(C11,Leases!$A$5:$A$34,0),"unknown"))</f>
        <v/>
      </c>
      <c r="F11" s="15">
        <f>IF(OR(A11="",E11="",E11="unknown"),0,INDEX(Leases!$T$5:$T$34,E11))</f>
        <v>0</v>
      </c>
      <c r="G11" s="15" t="str">
        <f>IF(A11="","",IF(F11=1,"Leased",IF(H11&lt;&gt;"","Vacant · lease starts later","Vacant")))</f>
        <v/>
      </c>
      <c r="H11" s="31" t="str">
        <f>IF(OR(A11="",E11="",E11="unknown"),"",IF(INDEX(Leases!$S$5:$S$34,E11)="Not started",INDEX(Leases!$C$5:$C$34,E11),""))</f>
        <v/>
      </c>
      <c r="I11" s="15">
        <f>IF(AND(A11&lt;&gt;"",F11=0),1,0)</f>
        <v>0</v>
      </c>
      <c r="J11" s="15" t="str">
        <f>IF(I11=1,COUNTIF($I$5:I11,1),"")</f>
        <v/>
      </c>
      <c r="K11" s="15" t="str">
        <f>IF(C11="","",C11&amp;"|"&amp;COUNTIF($C$5:C11,C11))</f>
        <v/>
      </c>
      <c r="L11" s="15">
        <f>IF(A11="",0,IF(COUNTIF($A$5:$A$54,A11)&gt;1,1,0))</f>
        <v>0</v>
      </c>
      <c r="M11" s="15">
        <f>IF(E11="unknown",1,0)</f>
        <v>0</v>
      </c>
      <c r="N11" s="15">
        <f>IF(A11&lt;&gt;"",IF(OR(NOT(ISNUMBER(B11)),B11&lt;=0),1,0),IF(OR(B11&lt;&gt;"",C11&lt;&gt;""),1,0))</f>
        <v>0</v>
      </c>
    </row>
    <row r="12">
      <c r="A12" s="7" t="n"/>
      <c r="B12" s="10" t="n"/>
      <c r="C12" s="7" t="n"/>
      <c r="D12" s="7" t="n"/>
      <c r="E12" s="15" t="str">
        <f>IF(C12="","",IFERROR(MATCH(C12,Leases!$A$5:$A$34,0),"unknown"))</f>
        <v/>
      </c>
      <c r="F12" s="15">
        <f>IF(OR(A12="",E12="",E12="unknown"),0,INDEX(Leases!$T$5:$T$34,E12))</f>
        <v>0</v>
      </c>
      <c r="G12" s="15" t="str">
        <f>IF(A12="","",IF(F12=1,"Leased",IF(H12&lt;&gt;"","Vacant · lease starts later","Vacant")))</f>
        <v/>
      </c>
      <c r="H12" s="31" t="str">
        <f>IF(OR(A12="",E12="",E12="unknown"),"",IF(INDEX(Leases!$S$5:$S$34,E12)="Not started",INDEX(Leases!$C$5:$C$34,E12),""))</f>
        <v/>
      </c>
      <c r="I12" s="15">
        <f>IF(AND(A12&lt;&gt;"",F12=0),1,0)</f>
        <v>0</v>
      </c>
      <c r="J12" s="15" t="str">
        <f>IF(I12=1,COUNTIF($I$5:I12,1),"")</f>
        <v/>
      </c>
      <c r="K12" s="15" t="str">
        <f>IF(C12="","",C12&amp;"|"&amp;COUNTIF($C$5:C12,C12))</f>
        <v/>
      </c>
      <c r="L12" s="15">
        <f>IF(A12="",0,IF(COUNTIF($A$5:$A$54,A12)&gt;1,1,0))</f>
        <v>0</v>
      </c>
      <c r="M12" s="15">
        <f>IF(E12="unknown",1,0)</f>
        <v>0</v>
      </c>
      <c r="N12" s="15">
        <f>IF(A12&lt;&gt;"",IF(OR(NOT(ISNUMBER(B12)),B12&lt;=0),1,0),IF(OR(B12&lt;&gt;"",C12&lt;&gt;""),1,0))</f>
        <v>0</v>
      </c>
    </row>
    <row r="13">
      <c r="A13" s="7" t="n"/>
      <c r="B13" s="10" t="n"/>
      <c r="C13" s="7" t="n"/>
      <c r="D13" s="7" t="n"/>
      <c r="E13" s="15" t="str">
        <f>IF(C13="","",IFERROR(MATCH(C13,Leases!$A$5:$A$34,0),"unknown"))</f>
        <v/>
      </c>
      <c r="F13" s="15">
        <f>IF(OR(A13="",E13="",E13="unknown"),0,INDEX(Leases!$T$5:$T$34,E13))</f>
        <v>0</v>
      </c>
      <c r="G13" s="15" t="str">
        <f>IF(A13="","",IF(F13=1,"Leased",IF(H13&lt;&gt;"","Vacant · lease starts later","Vacant")))</f>
        <v/>
      </c>
      <c r="H13" s="31" t="str">
        <f>IF(OR(A13="",E13="",E13="unknown"),"",IF(INDEX(Leases!$S$5:$S$34,E13)="Not started",INDEX(Leases!$C$5:$C$34,E13),""))</f>
        <v/>
      </c>
      <c r="I13" s="15">
        <f>IF(AND(A13&lt;&gt;"",F13=0),1,0)</f>
        <v>0</v>
      </c>
      <c r="J13" s="15" t="str">
        <f>IF(I13=1,COUNTIF($I$5:I13,1),"")</f>
        <v/>
      </c>
      <c r="K13" s="15" t="str">
        <f>IF(C13="","",C13&amp;"|"&amp;COUNTIF($C$5:C13,C13))</f>
        <v/>
      </c>
      <c r="L13" s="15">
        <f>IF(A13="",0,IF(COUNTIF($A$5:$A$54,A13)&gt;1,1,0))</f>
        <v>0</v>
      </c>
      <c r="M13" s="15">
        <f>IF(E13="unknown",1,0)</f>
        <v>0</v>
      </c>
      <c r="N13" s="15">
        <f>IF(A13&lt;&gt;"",IF(OR(NOT(ISNUMBER(B13)),B13&lt;=0),1,0),IF(OR(B13&lt;&gt;"",C13&lt;&gt;""),1,0))</f>
        <v>0</v>
      </c>
    </row>
    <row r="14">
      <c r="A14" s="7" t="n"/>
      <c r="B14" s="10" t="n"/>
      <c r="C14" s="7" t="n"/>
      <c r="D14" s="7" t="n"/>
      <c r="E14" s="15" t="str">
        <f>IF(C14="","",IFERROR(MATCH(C14,Leases!$A$5:$A$34,0),"unknown"))</f>
        <v/>
      </c>
      <c r="F14" s="15">
        <f>IF(OR(A14="",E14="",E14="unknown"),0,INDEX(Leases!$T$5:$T$34,E14))</f>
        <v>0</v>
      </c>
      <c r="G14" s="15" t="str">
        <f>IF(A14="","",IF(F14=1,"Leased",IF(H14&lt;&gt;"","Vacant · lease starts later","Vacant")))</f>
        <v/>
      </c>
      <c r="H14" s="31" t="str">
        <f>IF(OR(A14="",E14="",E14="unknown"),"",IF(INDEX(Leases!$S$5:$S$34,E14)="Not started",INDEX(Leases!$C$5:$C$34,E14),""))</f>
        <v/>
      </c>
      <c r="I14" s="15">
        <f>IF(AND(A14&lt;&gt;"",F14=0),1,0)</f>
        <v>0</v>
      </c>
      <c r="J14" s="15" t="str">
        <f>IF(I14=1,COUNTIF($I$5:I14,1),"")</f>
        <v/>
      </c>
      <c r="K14" s="15" t="str">
        <f>IF(C14="","",C14&amp;"|"&amp;COUNTIF($C$5:C14,C14))</f>
        <v/>
      </c>
      <c r="L14" s="15">
        <f>IF(A14="",0,IF(COUNTIF($A$5:$A$54,A14)&gt;1,1,0))</f>
        <v>0</v>
      </c>
      <c r="M14" s="15">
        <f>IF(E14="unknown",1,0)</f>
        <v>0</v>
      </c>
      <c r="N14" s="15">
        <f>IF(A14&lt;&gt;"",IF(OR(NOT(ISNUMBER(B14)),B14&lt;=0),1,0),IF(OR(B14&lt;&gt;"",C14&lt;&gt;""),1,0))</f>
        <v>0</v>
      </c>
    </row>
    <row r="15">
      <c r="A15" s="7" t="n"/>
      <c r="B15" s="10" t="n"/>
      <c r="C15" s="7" t="n"/>
      <c r="D15" s="7" t="n"/>
      <c r="E15" s="15" t="str">
        <f>IF(C15="","",IFERROR(MATCH(C15,Leases!$A$5:$A$34,0),"unknown"))</f>
        <v/>
      </c>
      <c r="F15" s="15">
        <f>IF(OR(A15="",E15="",E15="unknown"),0,INDEX(Leases!$T$5:$T$34,E15))</f>
        <v>0</v>
      </c>
      <c r="G15" s="15" t="str">
        <f>IF(A15="","",IF(F15=1,"Leased",IF(H15&lt;&gt;"","Vacant · lease starts later","Vacant")))</f>
        <v/>
      </c>
      <c r="H15" s="31" t="str">
        <f>IF(OR(A15="",E15="",E15="unknown"),"",IF(INDEX(Leases!$S$5:$S$34,E15)="Not started",INDEX(Leases!$C$5:$C$34,E15),""))</f>
        <v/>
      </c>
      <c r="I15" s="15">
        <f>IF(AND(A15&lt;&gt;"",F15=0),1,0)</f>
        <v>0</v>
      </c>
      <c r="J15" s="15" t="str">
        <f>IF(I15=1,COUNTIF($I$5:I15,1),"")</f>
        <v/>
      </c>
      <c r="K15" s="15" t="str">
        <f>IF(C15="","",C15&amp;"|"&amp;COUNTIF($C$5:C15,C15))</f>
        <v/>
      </c>
      <c r="L15" s="15">
        <f>IF(A15="",0,IF(COUNTIF($A$5:$A$54,A15)&gt;1,1,0))</f>
        <v>0</v>
      </c>
      <c r="M15" s="15">
        <f>IF(E15="unknown",1,0)</f>
        <v>0</v>
      </c>
      <c r="N15" s="15">
        <f>IF(A15&lt;&gt;"",IF(OR(NOT(ISNUMBER(B15)),B15&lt;=0),1,0),IF(OR(B15&lt;&gt;"",C15&lt;&gt;""),1,0))</f>
        <v>0</v>
      </c>
    </row>
    <row r="16">
      <c r="A16" s="7" t="n"/>
      <c r="B16" s="10" t="n"/>
      <c r="C16" s="7" t="n"/>
      <c r="D16" s="7" t="n"/>
      <c r="E16" s="15" t="str">
        <f>IF(C16="","",IFERROR(MATCH(C16,Leases!$A$5:$A$34,0),"unknown"))</f>
        <v/>
      </c>
      <c r="F16" s="15">
        <f>IF(OR(A16="",E16="",E16="unknown"),0,INDEX(Leases!$T$5:$T$34,E16))</f>
        <v>0</v>
      </c>
      <c r="G16" s="15" t="str">
        <f>IF(A16="","",IF(F16=1,"Leased",IF(H16&lt;&gt;"","Vacant · lease starts later","Vacant")))</f>
        <v/>
      </c>
      <c r="H16" s="31" t="str">
        <f>IF(OR(A16="",E16="",E16="unknown"),"",IF(INDEX(Leases!$S$5:$S$34,E16)="Not started",INDEX(Leases!$C$5:$C$34,E16),""))</f>
        <v/>
      </c>
      <c r="I16" s="15">
        <f>IF(AND(A16&lt;&gt;"",F16=0),1,0)</f>
        <v>0</v>
      </c>
      <c r="J16" s="15" t="str">
        <f>IF(I16=1,COUNTIF($I$5:I16,1),"")</f>
        <v/>
      </c>
      <c r="K16" s="15" t="str">
        <f>IF(C16="","",C16&amp;"|"&amp;COUNTIF($C$5:C16,C16))</f>
        <v/>
      </c>
      <c r="L16" s="15">
        <f>IF(A16="",0,IF(COUNTIF($A$5:$A$54,A16)&gt;1,1,0))</f>
        <v>0</v>
      </c>
      <c r="M16" s="15">
        <f>IF(E16="unknown",1,0)</f>
        <v>0</v>
      </c>
      <c r="N16" s="15">
        <f>IF(A16&lt;&gt;"",IF(OR(NOT(ISNUMBER(B16)),B16&lt;=0),1,0),IF(OR(B16&lt;&gt;"",C16&lt;&gt;""),1,0))</f>
        <v>0</v>
      </c>
    </row>
    <row r="17">
      <c r="A17" s="7" t="n"/>
      <c r="B17" s="10" t="n"/>
      <c r="C17" s="7" t="n"/>
      <c r="D17" s="7" t="n"/>
      <c r="E17" s="15" t="str">
        <f>IF(C17="","",IFERROR(MATCH(C17,Leases!$A$5:$A$34,0),"unknown"))</f>
        <v/>
      </c>
      <c r="F17" s="15">
        <f>IF(OR(A17="",E17="",E17="unknown"),0,INDEX(Leases!$T$5:$T$34,E17))</f>
        <v>0</v>
      </c>
      <c r="G17" s="15" t="str">
        <f>IF(A17="","",IF(F17=1,"Leased",IF(H17&lt;&gt;"","Vacant · lease starts later","Vacant")))</f>
        <v/>
      </c>
      <c r="H17" s="31" t="str">
        <f>IF(OR(A17="",E17="",E17="unknown"),"",IF(INDEX(Leases!$S$5:$S$34,E17)="Not started",INDEX(Leases!$C$5:$C$34,E17),""))</f>
        <v/>
      </c>
      <c r="I17" s="15">
        <f>IF(AND(A17&lt;&gt;"",F17=0),1,0)</f>
        <v>0</v>
      </c>
      <c r="J17" s="15" t="str">
        <f>IF(I17=1,COUNTIF($I$5:I17,1),"")</f>
        <v/>
      </c>
      <c r="K17" s="15" t="str">
        <f>IF(C17="","",C17&amp;"|"&amp;COUNTIF($C$5:C17,C17))</f>
        <v/>
      </c>
      <c r="L17" s="15">
        <f>IF(A17="",0,IF(COUNTIF($A$5:$A$54,A17)&gt;1,1,0))</f>
        <v>0</v>
      </c>
      <c r="M17" s="15">
        <f>IF(E17="unknown",1,0)</f>
        <v>0</v>
      </c>
      <c r="N17" s="15">
        <f>IF(A17&lt;&gt;"",IF(OR(NOT(ISNUMBER(B17)),B17&lt;=0),1,0),IF(OR(B17&lt;&gt;"",C17&lt;&gt;""),1,0))</f>
        <v>0</v>
      </c>
    </row>
    <row r="18">
      <c r="A18" s="7" t="n"/>
      <c r="B18" s="10" t="n"/>
      <c r="C18" s="7" t="n"/>
      <c r="D18" s="7" t="n"/>
      <c r="E18" s="15" t="str">
        <f>IF(C18="","",IFERROR(MATCH(C18,Leases!$A$5:$A$34,0),"unknown"))</f>
        <v/>
      </c>
      <c r="F18" s="15">
        <f>IF(OR(A18="",E18="",E18="unknown"),0,INDEX(Leases!$T$5:$T$34,E18))</f>
        <v>0</v>
      </c>
      <c r="G18" s="15" t="str">
        <f>IF(A18="","",IF(F18=1,"Leased",IF(H18&lt;&gt;"","Vacant · lease starts later","Vacant")))</f>
        <v/>
      </c>
      <c r="H18" s="31" t="str">
        <f>IF(OR(A18="",E18="",E18="unknown"),"",IF(INDEX(Leases!$S$5:$S$34,E18)="Not started",INDEX(Leases!$C$5:$C$34,E18),""))</f>
        <v/>
      </c>
      <c r="I18" s="15">
        <f>IF(AND(A18&lt;&gt;"",F18=0),1,0)</f>
        <v>0</v>
      </c>
      <c r="J18" s="15" t="str">
        <f>IF(I18=1,COUNTIF($I$5:I18,1),"")</f>
        <v/>
      </c>
      <c r="K18" s="15" t="str">
        <f>IF(C18="","",C18&amp;"|"&amp;COUNTIF($C$5:C18,C18))</f>
        <v/>
      </c>
      <c r="L18" s="15">
        <f>IF(A18="",0,IF(COUNTIF($A$5:$A$54,A18)&gt;1,1,0))</f>
        <v>0</v>
      </c>
      <c r="M18" s="15">
        <f>IF(E18="unknown",1,0)</f>
        <v>0</v>
      </c>
      <c r="N18" s="15">
        <f>IF(A18&lt;&gt;"",IF(OR(NOT(ISNUMBER(B18)),B18&lt;=0),1,0),IF(OR(B18&lt;&gt;"",C18&lt;&gt;""),1,0))</f>
        <v>0</v>
      </c>
    </row>
    <row r="19">
      <c r="A19" s="7" t="n"/>
      <c r="B19" s="10" t="n"/>
      <c r="C19" s="7" t="n"/>
      <c r="D19" s="7" t="n"/>
      <c r="E19" s="15" t="str">
        <f>IF(C19="","",IFERROR(MATCH(C19,Leases!$A$5:$A$34,0),"unknown"))</f>
        <v/>
      </c>
      <c r="F19" s="15">
        <f>IF(OR(A19="",E19="",E19="unknown"),0,INDEX(Leases!$T$5:$T$34,E19))</f>
        <v>0</v>
      </c>
      <c r="G19" s="15" t="str">
        <f>IF(A19="","",IF(F19=1,"Leased",IF(H19&lt;&gt;"","Vacant · lease starts later","Vacant")))</f>
        <v/>
      </c>
      <c r="H19" s="31" t="str">
        <f>IF(OR(A19="",E19="",E19="unknown"),"",IF(INDEX(Leases!$S$5:$S$34,E19)="Not started",INDEX(Leases!$C$5:$C$34,E19),""))</f>
        <v/>
      </c>
      <c r="I19" s="15">
        <f>IF(AND(A19&lt;&gt;"",F19=0),1,0)</f>
        <v>0</v>
      </c>
      <c r="J19" s="15" t="str">
        <f>IF(I19=1,COUNTIF($I$5:I19,1),"")</f>
        <v/>
      </c>
      <c r="K19" s="15" t="str">
        <f>IF(C19="","",C19&amp;"|"&amp;COUNTIF($C$5:C19,C19))</f>
        <v/>
      </c>
      <c r="L19" s="15">
        <f>IF(A19="",0,IF(COUNTIF($A$5:$A$54,A19)&gt;1,1,0))</f>
        <v>0</v>
      </c>
      <c r="M19" s="15">
        <f>IF(E19="unknown",1,0)</f>
        <v>0</v>
      </c>
      <c r="N19" s="15">
        <f>IF(A19&lt;&gt;"",IF(OR(NOT(ISNUMBER(B19)),B19&lt;=0),1,0),IF(OR(B19&lt;&gt;"",C19&lt;&gt;""),1,0))</f>
        <v>0</v>
      </c>
    </row>
    <row r="20">
      <c r="A20" s="7" t="n"/>
      <c r="B20" s="10" t="n"/>
      <c r="C20" s="7" t="n"/>
      <c r="D20" s="7" t="n"/>
      <c r="E20" s="15" t="str">
        <f>IF(C20="","",IFERROR(MATCH(C20,Leases!$A$5:$A$34,0),"unknown"))</f>
        <v/>
      </c>
      <c r="F20" s="15">
        <f>IF(OR(A20="",E20="",E20="unknown"),0,INDEX(Leases!$T$5:$T$34,E20))</f>
        <v>0</v>
      </c>
      <c r="G20" s="15" t="str">
        <f>IF(A20="","",IF(F20=1,"Leased",IF(H20&lt;&gt;"","Vacant · lease starts later","Vacant")))</f>
        <v/>
      </c>
      <c r="H20" s="31" t="str">
        <f>IF(OR(A20="",E20="",E20="unknown"),"",IF(INDEX(Leases!$S$5:$S$34,E20)="Not started",INDEX(Leases!$C$5:$C$34,E20),""))</f>
        <v/>
      </c>
      <c r="I20" s="15">
        <f>IF(AND(A20&lt;&gt;"",F20=0),1,0)</f>
        <v>0</v>
      </c>
      <c r="J20" s="15" t="str">
        <f>IF(I20=1,COUNTIF($I$5:I20,1),"")</f>
        <v/>
      </c>
      <c r="K20" s="15" t="str">
        <f>IF(C20="","",C20&amp;"|"&amp;COUNTIF($C$5:C20,C20))</f>
        <v/>
      </c>
      <c r="L20" s="15">
        <f>IF(A20="",0,IF(COUNTIF($A$5:$A$54,A20)&gt;1,1,0))</f>
        <v>0</v>
      </c>
      <c r="M20" s="15">
        <f>IF(E20="unknown",1,0)</f>
        <v>0</v>
      </c>
      <c r="N20" s="15">
        <f>IF(A20&lt;&gt;"",IF(OR(NOT(ISNUMBER(B20)),B20&lt;=0),1,0),IF(OR(B20&lt;&gt;"",C20&lt;&gt;""),1,0))</f>
        <v>0</v>
      </c>
    </row>
    <row r="21">
      <c r="A21" s="7" t="n"/>
      <c r="B21" s="10" t="n"/>
      <c r="C21" s="7" t="n"/>
      <c r="D21" s="7" t="n"/>
      <c r="E21" s="15" t="str">
        <f>IF(C21="","",IFERROR(MATCH(C21,Leases!$A$5:$A$34,0),"unknown"))</f>
        <v/>
      </c>
      <c r="F21" s="15">
        <f>IF(OR(A21="",E21="",E21="unknown"),0,INDEX(Leases!$T$5:$T$34,E21))</f>
        <v>0</v>
      </c>
      <c r="G21" s="15" t="str">
        <f>IF(A21="","",IF(F21=1,"Leased",IF(H21&lt;&gt;"","Vacant · lease starts later","Vacant")))</f>
        <v/>
      </c>
      <c r="H21" s="31" t="str">
        <f>IF(OR(A21="",E21="",E21="unknown"),"",IF(INDEX(Leases!$S$5:$S$34,E21)="Not started",INDEX(Leases!$C$5:$C$34,E21),""))</f>
        <v/>
      </c>
      <c r="I21" s="15">
        <f>IF(AND(A21&lt;&gt;"",F21=0),1,0)</f>
        <v>0</v>
      </c>
      <c r="J21" s="15" t="str">
        <f>IF(I21=1,COUNTIF($I$5:I21,1),"")</f>
        <v/>
      </c>
      <c r="K21" s="15" t="str">
        <f>IF(C21="","",C21&amp;"|"&amp;COUNTIF($C$5:C21,C21))</f>
        <v/>
      </c>
      <c r="L21" s="15">
        <f>IF(A21="",0,IF(COUNTIF($A$5:$A$54,A21)&gt;1,1,0))</f>
        <v>0</v>
      </c>
      <c r="M21" s="15">
        <f>IF(E21="unknown",1,0)</f>
        <v>0</v>
      </c>
      <c r="N21" s="15">
        <f>IF(A21&lt;&gt;"",IF(OR(NOT(ISNUMBER(B21)),B21&lt;=0),1,0),IF(OR(B21&lt;&gt;"",C21&lt;&gt;""),1,0))</f>
        <v>0</v>
      </c>
    </row>
    <row r="22">
      <c r="A22" s="7" t="n"/>
      <c r="B22" s="10" t="n"/>
      <c r="C22" s="7" t="n"/>
      <c r="D22" s="7" t="n"/>
      <c r="E22" s="15" t="str">
        <f>IF(C22="","",IFERROR(MATCH(C22,Leases!$A$5:$A$34,0),"unknown"))</f>
        <v/>
      </c>
      <c r="F22" s="15">
        <f>IF(OR(A22="",E22="",E22="unknown"),0,INDEX(Leases!$T$5:$T$34,E22))</f>
        <v>0</v>
      </c>
      <c r="G22" s="15" t="str">
        <f>IF(A22="","",IF(F22=1,"Leased",IF(H22&lt;&gt;"","Vacant · lease starts later","Vacant")))</f>
        <v/>
      </c>
      <c r="H22" s="31" t="str">
        <f>IF(OR(A22="",E22="",E22="unknown"),"",IF(INDEX(Leases!$S$5:$S$34,E22)="Not started",INDEX(Leases!$C$5:$C$34,E22),""))</f>
        <v/>
      </c>
      <c r="I22" s="15">
        <f>IF(AND(A22&lt;&gt;"",F22=0),1,0)</f>
        <v>0</v>
      </c>
      <c r="J22" s="15" t="str">
        <f>IF(I22=1,COUNTIF($I$5:I22,1),"")</f>
        <v/>
      </c>
      <c r="K22" s="15" t="str">
        <f>IF(C22="","",C22&amp;"|"&amp;COUNTIF($C$5:C22,C22))</f>
        <v/>
      </c>
      <c r="L22" s="15">
        <f>IF(A22="",0,IF(COUNTIF($A$5:$A$54,A22)&gt;1,1,0))</f>
        <v>0</v>
      </c>
      <c r="M22" s="15">
        <f>IF(E22="unknown",1,0)</f>
        <v>0</v>
      </c>
      <c r="N22" s="15">
        <f>IF(A22&lt;&gt;"",IF(OR(NOT(ISNUMBER(B22)),B22&lt;=0),1,0),IF(OR(B22&lt;&gt;"",C22&lt;&gt;""),1,0))</f>
        <v>0</v>
      </c>
    </row>
    <row r="23">
      <c r="A23" s="7" t="n"/>
      <c r="B23" s="10" t="n"/>
      <c r="C23" s="7" t="n"/>
      <c r="D23" s="7" t="n"/>
      <c r="E23" s="15" t="str">
        <f>IF(C23="","",IFERROR(MATCH(C23,Leases!$A$5:$A$34,0),"unknown"))</f>
        <v/>
      </c>
      <c r="F23" s="15">
        <f>IF(OR(A23="",E23="",E23="unknown"),0,INDEX(Leases!$T$5:$T$34,E23))</f>
        <v>0</v>
      </c>
      <c r="G23" s="15" t="str">
        <f>IF(A23="","",IF(F23=1,"Leased",IF(H23&lt;&gt;"","Vacant · lease starts later","Vacant")))</f>
        <v/>
      </c>
      <c r="H23" s="31" t="str">
        <f>IF(OR(A23="",E23="",E23="unknown"),"",IF(INDEX(Leases!$S$5:$S$34,E23)="Not started",INDEX(Leases!$C$5:$C$34,E23),""))</f>
        <v/>
      </c>
      <c r="I23" s="15">
        <f>IF(AND(A23&lt;&gt;"",F23=0),1,0)</f>
        <v>0</v>
      </c>
      <c r="J23" s="15" t="str">
        <f>IF(I23=1,COUNTIF($I$5:I23,1),"")</f>
        <v/>
      </c>
      <c r="K23" s="15" t="str">
        <f>IF(C23="","",C23&amp;"|"&amp;COUNTIF($C$5:C23,C23))</f>
        <v/>
      </c>
      <c r="L23" s="15">
        <f>IF(A23="",0,IF(COUNTIF($A$5:$A$54,A23)&gt;1,1,0))</f>
        <v>0</v>
      </c>
      <c r="M23" s="15">
        <f>IF(E23="unknown",1,0)</f>
        <v>0</v>
      </c>
      <c r="N23" s="15">
        <f>IF(A23&lt;&gt;"",IF(OR(NOT(ISNUMBER(B23)),B23&lt;=0),1,0),IF(OR(B23&lt;&gt;"",C23&lt;&gt;""),1,0))</f>
        <v>0</v>
      </c>
    </row>
    <row r="24">
      <c r="A24" s="7" t="n"/>
      <c r="B24" s="10" t="n"/>
      <c r="C24" s="7" t="n"/>
      <c r="D24" s="7" t="n"/>
      <c r="E24" s="15" t="str">
        <f>IF(C24="","",IFERROR(MATCH(C24,Leases!$A$5:$A$34,0),"unknown"))</f>
        <v/>
      </c>
      <c r="F24" s="15">
        <f>IF(OR(A24="",E24="",E24="unknown"),0,INDEX(Leases!$T$5:$T$34,E24))</f>
        <v>0</v>
      </c>
      <c r="G24" s="15" t="str">
        <f>IF(A24="","",IF(F24=1,"Leased",IF(H24&lt;&gt;"","Vacant · lease starts later","Vacant")))</f>
        <v/>
      </c>
      <c r="H24" s="31" t="str">
        <f>IF(OR(A24="",E24="",E24="unknown"),"",IF(INDEX(Leases!$S$5:$S$34,E24)="Not started",INDEX(Leases!$C$5:$C$34,E24),""))</f>
        <v/>
      </c>
      <c r="I24" s="15">
        <f>IF(AND(A24&lt;&gt;"",F24=0),1,0)</f>
        <v>0</v>
      </c>
      <c r="J24" s="15" t="str">
        <f>IF(I24=1,COUNTIF($I$5:I24,1),"")</f>
        <v/>
      </c>
      <c r="K24" s="15" t="str">
        <f>IF(C24="","",C24&amp;"|"&amp;COUNTIF($C$5:C24,C24))</f>
        <v/>
      </c>
      <c r="L24" s="15">
        <f>IF(A24="",0,IF(COUNTIF($A$5:$A$54,A24)&gt;1,1,0))</f>
        <v>0</v>
      </c>
      <c r="M24" s="15">
        <f>IF(E24="unknown",1,0)</f>
        <v>0</v>
      </c>
      <c r="N24" s="15">
        <f>IF(A24&lt;&gt;"",IF(OR(NOT(ISNUMBER(B24)),B24&lt;=0),1,0),IF(OR(B24&lt;&gt;"",C24&lt;&gt;""),1,0))</f>
        <v>0</v>
      </c>
    </row>
    <row r="25">
      <c r="A25" s="7" t="n"/>
      <c r="B25" s="10" t="n"/>
      <c r="C25" s="7" t="n"/>
      <c r="D25" s="7" t="n"/>
      <c r="E25" s="15" t="str">
        <f>IF(C25="","",IFERROR(MATCH(C25,Leases!$A$5:$A$34,0),"unknown"))</f>
        <v/>
      </c>
      <c r="F25" s="15">
        <f>IF(OR(A25="",E25="",E25="unknown"),0,INDEX(Leases!$T$5:$T$34,E25))</f>
        <v>0</v>
      </c>
      <c r="G25" s="15" t="str">
        <f>IF(A25="","",IF(F25=1,"Leased",IF(H25&lt;&gt;"","Vacant · lease starts later","Vacant")))</f>
        <v/>
      </c>
      <c r="H25" s="31" t="str">
        <f>IF(OR(A25="",E25="",E25="unknown"),"",IF(INDEX(Leases!$S$5:$S$34,E25)="Not started",INDEX(Leases!$C$5:$C$34,E25),""))</f>
        <v/>
      </c>
      <c r="I25" s="15">
        <f>IF(AND(A25&lt;&gt;"",F25=0),1,0)</f>
        <v>0</v>
      </c>
      <c r="J25" s="15" t="str">
        <f>IF(I25=1,COUNTIF($I$5:I25,1),"")</f>
        <v/>
      </c>
      <c r="K25" s="15" t="str">
        <f>IF(C25="","",C25&amp;"|"&amp;COUNTIF($C$5:C25,C25))</f>
        <v/>
      </c>
      <c r="L25" s="15">
        <f>IF(A25="",0,IF(COUNTIF($A$5:$A$54,A25)&gt;1,1,0))</f>
        <v>0</v>
      </c>
      <c r="M25" s="15">
        <f>IF(E25="unknown",1,0)</f>
        <v>0</v>
      </c>
      <c r="N25" s="15">
        <f>IF(A25&lt;&gt;"",IF(OR(NOT(ISNUMBER(B25)),B25&lt;=0),1,0),IF(OR(B25&lt;&gt;"",C25&lt;&gt;""),1,0))</f>
        <v>0</v>
      </c>
    </row>
    <row r="26">
      <c r="A26" s="7" t="n"/>
      <c r="B26" s="10" t="n"/>
      <c r="C26" s="7" t="n"/>
      <c r="D26" s="7" t="n"/>
      <c r="E26" s="15" t="str">
        <f>IF(C26="","",IFERROR(MATCH(C26,Leases!$A$5:$A$34,0),"unknown"))</f>
        <v/>
      </c>
      <c r="F26" s="15">
        <f>IF(OR(A26="",E26="",E26="unknown"),0,INDEX(Leases!$T$5:$T$34,E26))</f>
        <v>0</v>
      </c>
      <c r="G26" s="15" t="str">
        <f>IF(A26="","",IF(F26=1,"Leased",IF(H26&lt;&gt;"","Vacant · lease starts later","Vacant")))</f>
        <v/>
      </c>
      <c r="H26" s="31" t="str">
        <f>IF(OR(A26="",E26="",E26="unknown"),"",IF(INDEX(Leases!$S$5:$S$34,E26)="Not started",INDEX(Leases!$C$5:$C$34,E26),""))</f>
        <v/>
      </c>
      <c r="I26" s="15">
        <f>IF(AND(A26&lt;&gt;"",F26=0),1,0)</f>
        <v>0</v>
      </c>
      <c r="J26" s="15" t="str">
        <f>IF(I26=1,COUNTIF($I$5:I26,1),"")</f>
        <v/>
      </c>
      <c r="K26" s="15" t="str">
        <f>IF(C26="","",C26&amp;"|"&amp;COUNTIF($C$5:C26,C26))</f>
        <v/>
      </c>
      <c r="L26" s="15">
        <f>IF(A26="",0,IF(COUNTIF($A$5:$A$54,A26)&gt;1,1,0))</f>
        <v>0</v>
      </c>
      <c r="M26" s="15">
        <f>IF(E26="unknown",1,0)</f>
        <v>0</v>
      </c>
      <c r="N26" s="15">
        <f>IF(A26&lt;&gt;"",IF(OR(NOT(ISNUMBER(B26)),B26&lt;=0),1,0),IF(OR(B26&lt;&gt;"",C26&lt;&gt;""),1,0))</f>
        <v>0</v>
      </c>
    </row>
    <row r="27">
      <c r="A27" s="7" t="n"/>
      <c r="B27" s="10" t="n"/>
      <c r="C27" s="7" t="n"/>
      <c r="D27" s="7" t="n"/>
      <c r="E27" s="15" t="str">
        <f>IF(C27="","",IFERROR(MATCH(C27,Leases!$A$5:$A$34,0),"unknown"))</f>
        <v/>
      </c>
      <c r="F27" s="15">
        <f>IF(OR(A27="",E27="",E27="unknown"),0,INDEX(Leases!$T$5:$T$34,E27))</f>
        <v>0</v>
      </c>
      <c r="G27" s="15" t="str">
        <f>IF(A27="","",IF(F27=1,"Leased",IF(H27&lt;&gt;"","Vacant · lease starts later","Vacant")))</f>
        <v/>
      </c>
      <c r="H27" s="31" t="str">
        <f>IF(OR(A27="",E27="",E27="unknown"),"",IF(INDEX(Leases!$S$5:$S$34,E27)="Not started",INDEX(Leases!$C$5:$C$34,E27),""))</f>
        <v/>
      </c>
      <c r="I27" s="15">
        <f>IF(AND(A27&lt;&gt;"",F27=0),1,0)</f>
        <v>0</v>
      </c>
      <c r="J27" s="15" t="str">
        <f>IF(I27=1,COUNTIF($I$5:I27,1),"")</f>
        <v/>
      </c>
      <c r="K27" s="15" t="str">
        <f>IF(C27="","",C27&amp;"|"&amp;COUNTIF($C$5:C27,C27))</f>
        <v/>
      </c>
      <c r="L27" s="15">
        <f>IF(A27="",0,IF(COUNTIF($A$5:$A$54,A27)&gt;1,1,0))</f>
        <v>0</v>
      </c>
      <c r="M27" s="15">
        <f>IF(E27="unknown",1,0)</f>
        <v>0</v>
      </c>
      <c r="N27" s="15">
        <f>IF(A27&lt;&gt;"",IF(OR(NOT(ISNUMBER(B27)),B27&lt;=0),1,0),IF(OR(B27&lt;&gt;"",C27&lt;&gt;""),1,0))</f>
        <v>0</v>
      </c>
    </row>
    <row r="28">
      <c r="A28" s="7" t="n"/>
      <c r="B28" s="10" t="n"/>
      <c r="C28" s="7" t="n"/>
      <c r="D28" s="7" t="n"/>
      <c r="E28" s="15" t="str">
        <f>IF(C28="","",IFERROR(MATCH(C28,Leases!$A$5:$A$34,0),"unknown"))</f>
        <v/>
      </c>
      <c r="F28" s="15">
        <f>IF(OR(A28="",E28="",E28="unknown"),0,INDEX(Leases!$T$5:$T$34,E28))</f>
        <v>0</v>
      </c>
      <c r="G28" s="15" t="str">
        <f>IF(A28="","",IF(F28=1,"Leased",IF(H28&lt;&gt;"","Vacant · lease starts later","Vacant")))</f>
        <v/>
      </c>
      <c r="H28" s="31" t="str">
        <f>IF(OR(A28="",E28="",E28="unknown"),"",IF(INDEX(Leases!$S$5:$S$34,E28)="Not started",INDEX(Leases!$C$5:$C$34,E28),""))</f>
        <v/>
      </c>
      <c r="I28" s="15">
        <f>IF(AND(A28&lt;&gt;"",F28=0),1,0)</f>
        <v>0</v>
      </c>
      <c r="J28" s="15" t="str">
        <f>IF(I28=1,COUNTIF($I$5:I28,1),"")</f>
        <v/>
      </c>
      <c r="K28" s="15" t="str">
        <f>IF(C28="","",C28&amp;"|"&amp;COUNTIF($C$5:C28,C28))</f>
        <v/>
      </c>
      <c r="L28" s="15">
        <f>IF(A28="",0,IF(COUNTIF($A$5:$A$54,A28)&gt;1,1,0))</f>
        <v>0</v>
      </c>
      <c r="M28" s="15">
        <f>IF(E28="unknown",1,0)</f>
        <v>0</v>
      </c>
      <c r="N28" s="15">
        <f>IF(A28&lt;&gt;"",IF(OR(NOT(ISNUMBER(B28)),B28&lt;=0),1,0),IF(OR(B28&lt;&gt;"",C28&lt;&gt;""),1,0))</f>
        <v>0</v>
      </c>
    </row>
    <row r="29">
      <c r="A29" s="7" t="n"/>
      <c r="B29" s="10" t="n"/>
      <c r="C29" s="7" t="n"/>
      <c r="D29" s="7" t="n"/>
      <c r="E29" s="15" t="str">
        <f>IF(C29="","",IFERROR(MATCH(C29,Leases!$A$5:$A$34,0),"unknown"))</f>
        <v/>
      </c>
      <c r="F29" s="15">
        <f>IF(OR(A29="",E29="",E29="unknown"),0,INDEX(Leases!$T$5:$T$34,E29))</f>
        <v>0</v>
      </c>
      <c r="G29" s="15" t="str">
        <f>IF(A29="","",IF(F29=1,"Leased",IF(H29&lt;&gt;"","Vacant · lease starts later","Vacant")))</f>
        <v/>
      </c>
      <c r="H29" s="31" t="str">
        <f>IF(OR(A29="",E29="",E29="unknown"),"",IF(INDEX(Leases!$S$5:$S$34,E29)="Not started",INDEX(Leases!$C$5:$C$34,E29),""))</f>
        <v/>
      </c>
      <c r="I29" s="15">
        <f>IF(AND(A29&lt;&gt;"",F29=0),1,0)</f>
        <v>0</v>
      </c>
      <c r="J29" s="15" t="str">
        <f>IF(I29=1,COUNTIF($I$5:I29,1),"")</f>
        <v/>
      </c>
      <c r="K29" s="15" t="str">
        <f>IF(C29="","",C29&amp;"|"&amp;COUNTIF($C$5:C29,C29))</f>
        <v/>
      </c>
      <c r="L29" s="15">
        <f>IF(A29="",0,IF(COUNTIF($A$5:$A$54,A29)&gt;1,1,0))</f>
        <v>0</v>
      </c>
      <c r="M29" s="15">
        <f>IF(E29="unknown",1,0)</f>
        <v>0</v>
      </c>
      <c r="N29" s="15">
        <f>IF(A29&lt;&gt;"",IF(OR(NOT(ISNUMBER(B29)),B29&lt;=0),1,0),IF(OR(B29&lt;&gt;"",C29&lt;&gt;""),1,0))</f>
        <v>0</v>
      </c>
    </row>
    <row r="30">
      <c r="A30" s="7" t="n"/>
      <c r="B30" s="10" t="n"/>
      <c r="C30" s="7" t="n"/>
      <c r="D30" s="7" t="n"/>
      <c r="E30" s="15" t="str">
        <f>IF(C30="","",IFERROR(MATCH(C30,Leases!$A$5:$A$34,0),"unknown"))</f>
        <v/>
      </c>
      <c r="F30" s="15">
        <f>IF(OR(A30="",E30="",E30="unknown"),0,INDEX(Leases!$T$5:$T$34,E30))</f>
        <v>0</v>
      </c>
      <c r="G30" s="15" t="str">
        <f>IF(A30="","",IF(F30=1,"Leased",IF(H30&lt;&gt;"","Vacant · lease starts later","Vacant")))</f>
        <v/>
      </c>
      <c r="H30" s="31" t="str">
        <f>IF(OR(A30="",E30="",E30="unknown"),"",IF(INDEX(Leases!$S$5:$S$34,E30)="Not started",INDEX(Leases!$C$5:$C$34,E30),""))</f>
        <v/>
      </c>
      <c r="I30" s="15">
        <f>IF(AND(A30&lt;&gt;"",F30=0),1,0)</f>
        <v>0</v>
      </c>
      <c r="J30" s="15" t="str">
        <f>IF(I30=1,COUNTIF($I$5:I30,1),"")</f>
        <v/>
      </c>
      <c r="K30" s="15" t="str">
        <f>IF(C30="","",C30&amp;"|"&amp;COUNTIF($C$5:C30,C30))</f>
        <v/>
      </c>
      <c r="L30" s="15">
        <f>IF(A30="",0,IF(COUNTIF($A$5:$A$54,A30)&gt;1,1,0))</f>
        <v>0</v>
      </c>
      <c r="M30" s="15">
        <f>IF(E30="unknown",1,0)</f>
        <v>0</v>
      </c>
      <c r="N30" s="15">
        <f>IF(A30&lt;&gt;"",IF(OR(NOT(ISNUMBER(B30)),B30&lt;=0),1,0),IF(OR(B30&lt;&gt;"",C30&lt;&gt;""),1,0))</f>
        <v>0</v>
      </c>
    </row>
    <row r="31">
      <c r="A31" s="7" t="n"/>
      <c r="B31" s="10" t="n"/>
      <c r="C31" s="7" t="n"/>
      <c r="D31" s="7" t="n"/>
      <c r="E31" s="15" t="str">
        <f>IF(C31="","",IFERROR(MATCH(C31,Leases!$A$5:$A$34,0),"unknown"))</f>
        <v/>
      </c>
      <c r="F31" s="15">
        <f>IF(OR(A31="",E31="",E31="unknown"),0,INDEX(Leases!$T$5:$T$34,E31))</f>
        <v>0</v>
      </c>
      <c r="G31" s="15" t="str">
        <f>IF(A31="","",IF(F31=1,"Leased",IF(H31&lt;&gt;"","Vacant · lease starts later","Vacant")))</f>
        <v/>
      </c>
      <c r="H31" s="31" t="str">
        <f>IF(OR(A31="",E31="",E31="unknown"),"",IF(INDEX(Leases!$S$5:$S$34,E31)="Not started",INDEX(Leases!$C$5:$C$34,E31),""))</f>
        <v/>
      </c>
      <c r="I31" s="15">
        <f>IF(AND(A31&lt;&gt;"",F31=0),1,0)</f>
        <v>0</v>
      </c>
      <c r="J31" s="15" t="str">
        <f>IF(I31=1,COUNTIF($I$5:I31,1),"")</f>
        <v/>
      </c>
      <c r="K31" s="15" t="str">
        <f>IF(C31="","",C31&amp;"|"&amp;COUNTIF($C$5:C31,C31))</f>
        <v/>
      </c>
      <c r="L31" s="15">
        <f>IF(A31="",0,IF(COUNTIF($A$5:$A$54,A31)&gt;1,1,0))</f>
        <v>0</v>
      </c>
      <c r="M31" s="15">
        <f>IF(E31="unknown",1,0)</f>
        <v>0</v>
      </c>
      <c r="N31" s="15">
        <f>IF(A31&lt;&gt;"",IF(OR(NOT(ISNUMBER(B31)),B31&lt;=0),1,0),IF(OR(B31&lt;&gt;"",C31&lt;&gt;""),1,0))</f>
        <v>0</v>
      </c>
    </row>
    <row r="32">
      <c r="A32" s="7" t="n"/>
      <c r="B32" s="10" t="n"/>
      <c r="C32" s="7" t="n"/>
      <c r="D32" s="7" t="n"/>
      <c r="E32" s="15" t="str">
        <f>IF(C32="","",IFERROR(MATCH(C32,Leases!$A$5:$A$34,0),"unknown"))</f>
        <v/>
      </c>
      <c r="F32" s="15">
        <f>IF(OR(A32="",E32="",E32="unknown"),0,INDEX(Leases!$T$5:$T$34,E32))</f>
        <v>0</v>
      </c>
      <c r="G32" s="15" t="str">
        <f>IF(A32="","",IF(F32=1,"Leased",IF(H32&lt;&gt;"","Vacant · lease starts later","Vacant")))</f>
        <v/>
      </c>
      <c r="H32" s="31" t="str">
        <f>IF(OR(A32="",E32="",E32="unknown"),"",IF(INDEX(Leases!$S$5:$S$34,E32)="Not started",INDEX(Leases!$C$5:$C$34,E32),""))</f>
        <v/>
      </c>
      <c r="I32" s="15">
        <f>IF(AND(A32&lt;&gt;"",F32=0),1,0)</f>
        <v>0</v>
      </c>
      <c r="J32" s="15" t="str">
        <f>IF(I32=1,COUNTIF($I$5:I32,1),"")</f>
        <v/>
      </c>
      <c r="K32" s="15" t="str">
        <f>IF(C32="","",C32&amp;"|"&amp;COUNTIF($C$5:C32,C32))</f>
        <v/>
      </c>
      <c r="L32" s="15">
        <f>IF(A32="",0,IF(COUNTIF($A$5:$A$54,A32)&gt;1,1,0))</f>
        <v>0</v>
      </c>
      <c r="M32" s="15">
        <f>IF(E32="unknown",1,0)</f>
        <v>0</v>
      </c>
      <c r="N32" s="15">
        <f>IF(A32&lt;&gt;"",IF(OR(NOT(ISNUMBER(B32)),B32&lt;=0),1,0),IF(OR(B32&lt;&gt;"",C32&lt;&gt;""),1,0))</f>
        <v>0</v>
      </c>
    </row>
    <row r="33">
      <c r="A33" s="7" t="n"/>
      <c r="B33" s="10" t="n"/>
      <c r="C33" s="7" t="n"/>
      <c r="D33" s="7" t="n"/>
      <c r="E33" s="15" t="str">
        <f>IF(C33="","",IFERROR(MATCH(C33,Leases!$A$5:$A$34,0),"unknown"))</f>
        <v/>
      </c>
      <c r="F33" s="15">
        <f>IF(OR(A33="",E33="",E33="unknown"),0,INDEX(Leases!$T$5:$T$34,E33))</f>
        <v>0</v>
      </c>
      <c r="G33" s="15" t="str">
        <f>IF(A33="","",IF(F33=1,"Leased",IF(H33&lt;&gt;"","Vacant · lease starts later","Vacant")))</f>
        <v/>
      </c>
      <c r="H33" s="31" t="str">
        <f>IF(OR(A33="",E33="",E33="unknown"),"",IF(INDEX(Leases!$S$5:$S$34,E33)="Not started",INDEX(Leases!$C$5:$C$34,E33),""))</f>
        <v/>
      </c>
      <c r="I33" s="15">
        <f>IF(AND(A33&lt;&gt;"",F33=0),1,0)</f>
        <v>0</v>
      </c>
      <c r="J33" s="15" t="str">
        <f>IF(I33=1,COUNTIF($I$5:I33,1),"")</f>
        <v/>
      </c>
      <c r="K33" s="15" t="str">
        <f>IF(C33="","",C33&amp;"|"&amp;COUNTIF($C$5:C33,C33))</f>
        <v/>
      </c>
      <c r="L33" s="15">
        <f>IF(A33="",0,IF(COUNTIF($A$5:$A$54,A33)&gt;1,1,0))</f>
        <v>0</v>
      </c>
      <c r="M33" s="15">
        <f>IF(E33="unknown",1,0)</f>
        <v>0</v>
      </c>
      <c r="N33" s="15">
        <f>IF(A33&lt;&gt;"",IF(OR(NOT(ISNUMBER(B33)),B33&lt;=0),1,0),IF(OR(B33&lt;&gt;"",C33&lt;&gt;""),1,0))</f>
        <v>0</v>
      </c>
    </row>
    <row r="34">
      <c r="A34" s="7" t="n"/>
      <c r="B34" s="10" t="n"/>
      <c r="C34" s="7" t="n"/>
      <c r="D34" s="7" t="n"/>
      <c r="E34" s="15" t="str">
        <f>IF(C34="","",IFERROR(MATCH(C34,Leases!$A$5:$A$34,0),"unknown"))</f>
        <v/>
      </c>
      <c r="F34" s="15">
        <f>IF(OR(A34="",E34="",E34="unknown"),0,INDEX(Leases!$T$5:$T$34,E34))</f>
        <v>0</v>
      </c>
      <c r="G34" s="15" t="str">
        <f>IF(A34="","",IF(F34=1,"Leased",IF(H34&lt;&gt;"","Vacant · lease starts later","Vacant")))</f>
        <v/>
      </c>
      <c r="H34" s="31" t="str">
        <f>IF(OR(A34="",E34="",E34="unknown"),"",IF(INDEX(Leases!$S$5:$S$34,E34)="Not started",INDEX(Leases!$C$5:$C$34,E34),""))</f>
        <v/>
      </c>
      <c r="I34" s="15">
        <f>IF(AND(A34&lt;&gt;"",F34=0),1,0)</f>
        <v>0</v>
      </c>
      <c r="J34" s="15" t="str">
        <f>IF(I34=1,COUNTIF($I$5:I34,1),"")</f>
        <v/>
      </c>
      <c r="K34" s="15" t="str">
        <f>IF(C34="","",C34&amp;"|"&amp;COUNTIF($C$5:C34,C34))</f>
        <v/>
      </c>
      <c r="L34" s="15">
        <f>IF(A34="",0,IF(COUNTIF($A$5:$A$54,A34)&gt;1,1,0))</f>
        <v>0</v>
      </c>
      <c r="M34" s="15">
        <f>IF(E34="unknown",1,0)</f>
        <v>0</v>
      </c>
      <c r="N34" s="15">
        <f>IF(A34&lt;&gt;"",IF(OR(NOT(ISNUMBER(B34)),B34&lt;=0),1,0),IF(OR(B34&lt;&gt;"",C34&lt;&gt;""),1,0))</f>
        <v>0</v>
      </c>
    </row>
    <row r="35">
      <c r="A35" s="7" t="n"/>
      <c r="B35" s="10" t="n"/>
      <c r="C35" s="7" t="n"/>
      <c r="D35" s="7" t="n"/>
      <c r="E35" s="15" t="str">
        <f>IF(C35="","",IFERROR(MATCH(C35,Leases!$A$5:$A$34,0),"unknown"))</f>
        <v/>
      </c>
      <c r="F35" s="15">
        <f>IF(OR(A35="",E35="",E35="unknown"),0,INDEX(Leases!$T$5:$T$34,E35))</f>
        <v>0</v>
      </c>
      <c r="G35" s="15" t="str">
        <f>IF(A35="","",IF(F35=1,"Leased",IF(H35&lt;&gt;"","Vacant · lease starts later","Vacant")))</f>
        <v/>
      </c>
      <c r="H35" s="31" t="str">
        <f>IF(OR(A35="",E35="",E35="unknown"),"",IF(INDEX(Leases!$S$5:$S$34,E35)="Not started",INDEX(Leases!$C$5:$C$34,E35),""))</f>
        <v/>
      </c>
      <c r="I35" s="15">
        <f>IF(AND(A35&lt;&gt;"",F35=0),1,0)</f>
        <v>0</v>
      </c>
      <c r="J35" s="15" t="str">
        <f>IF(I35=1,COUNTIF($I$5:I35,1),"")</f>
        <v/>
      </c>
      <c r="K35" s="15" t="str">
        <f>IF(C35="","",C35&amp;"|"&amp;COUNTIF($C$5:C35,C35))</f>
        <v/>
      </c>
      <c r="L35" s="15">
        <f>IF(A35="",0,IF(COUNTIF($A$5:$A$54,A35)&gt;1,1,0))</f>
        <v>0</v>
      </c>
      <c r="M35" s="15">
        <f>IF(E35="unknown",1,0)</f>
        <v>0</v>
      </c>
      <c r="N35" s="15">
        <f>IF(A35&lt;&gt;"",IF(OR(NOT(ISNUMBER(B35)),B35&lt;=0),1,0),IF(OR(B35&lt;&gt;"",C35&lt;&gt;""),1,0))</f>
        <v>0</v>
      </c>
    </row>
    <row r="36">
      <c r="A36" s="7" t="n"/>
      <c r="B36" s="10" t="n"/>
      <c r="C36" s="7" t="n"/>
      <c r="D36" s="7" t="n"/>
      <c r="E36" s="15" t="str">
        <f>IF(C36="","",IFERROR(MATCH(C36,Leases!$A$5:$A$34,0),"unknown"))</f>
        <v/>
      </c>
      <c r="F36" s="15">
        <f>IF(OR(A36="",E36="",E36="unknown"),0,INDEX(Leases!$T$5:$T$34,E36))</f>
        <v>0</v>
      </c>
      <c r="G36" s="15" t="str">
        <f>IF(A36="","",IF(F36=1,"Leased",IF(H36&lt;&gt;"","Vacant · lease starts later","Vacant")))</f>
        <v/>
      </c>
      <c r="H36" s="31" t="str">
        <f>IF(OR(A36="",E36="",E36="unknown"),"",IF(INDEX(Leases!$S$5:$S$34,E36)="Not started",INDEX(Leases!$C$5:$C$34,E36),""))</f>
        <v/>
      </c>
      <c r="I36" s="15">
        <f>IF(AND(A36&lt;&gt;"",F36=0),1,0)</f>
        <v>0</v>
      </c>
      <c r="J36" s="15" t="str">
        <f>IF(I36=1,COUNTIF($I$5:I36,1),"")</f>
        <v/>
      </c>
      <c r="K36" s="15" t="str">
        <f>IF(C36="","",C36&amp;"|"&amp;COUNTIF($C$5:C36,C36))</f>
        <v/>
      </c>
      <c r="L36" s="15">
        <f>IF(A36="",0,IF(COUNTIF($A$5:$A$54,A36)&gt;1,1,0))</f>
        <v>0</v>
      </c>
      <c r="M36" s="15">
        <f>IF(E36="unknown",1,0)</f>
        <v>0</v>
      </c>
      <c r="N36" s="15">
        <f>IF(A36&lt;&gt;"",IF(OR(NOT(ISNUMBER(B36)),B36&lt;=0),1,0),IF(OR(B36&lt;&gt;"",C36&lt;&gt;""),1,0))</f>
        <v>0</v>
      </c>
    </row>
    <row r="37">
      <c r="A37" s="7" t="n"/>
      <c r="B37" s="10" t="n"/>
      <c r="C37" s="7" t="n"/>
      <c r="D37" s="7" t="n"/>
      <c r="E37" s="15" t="str">
        <f>IF(C37="","",IFERROR(MATCH(C37,Leases!$A$5:$A$34,0),"unknown"))</f>
        <v/>
      </c>
      <c r="F37" s="15">
        <f>IF(OR(A37="",E37="",E37="unknown"),0,INDEX(Leases!$T$5:$T$34,E37))</f>
        <v>0</v>
      </c>
      <c r="G37" s="15" t="str">
        <f>IF(A37="","",IF(F37=1,"Leased",IF(H37&lt;&gt;"","Vacant · lease starts later","Vacant")))</f>
        <v/>
      </c>
      <c r="H37" s="31" t="str">
        <f>IF(OR(A37="",E37="",E37="unknown"),"",IF(INDEX(Leases!$S$5:$S$34,E37)="Not started",INDEX(Leases!$C$5:$C$34,E37),""))</f>
        <v/>
      </c>
      <c r="I37" s="15">
        <f>IF(AND(A37&lt;&gt;"",F37=0),1,0)</f>
        <v>0</v>
      </c>
      <c r="J37" s="15" t="str">
        <f>IF(I37=1,COUNTIF($I$5:I37,1),"")</f>
        <v/>
      </c>
      <c r="K37" s="15" t="str">
        <f>IF(C37="","",C37&amp;"|"&amp;COUNTIF($C$5:C37,C37))</f>
        <v/>
      </c>
      <c r="L37" s="15">
        <f>IF(A37="",0,IF(COUNTIF($A$5:$A$54,A37)&gt;1,1,0))</f>
        <v>0</v>
      </c>
      <c r="M37" s="15">
        <f>IF(E37="unknown",1,0)</f>
        <v>0</v>
      </c>
      <c r="N37" s="15">
        <f>IF(A37&lt;&gt;"",IF(OR(NOT(ISNUMBER(B37)),B37&lt;=0),1,0),IF(OR(B37&lt;&gt;"",C37&lt;&gt;""),1,0))</f>
        <v>0</v>
      </c>
    </row>
    <row r="38">
      <c r="A38" s="7" t="n"/>
      <c r="B38" s="10" t="n"/>
      <c r="C38" s="7" t="n"/>
      <c r="D38" s="7" t="n"/>
      <c r="E38" s="15" t="str">
        <f>IF(C38="","",IFERROR(MATCH(C38,Leases!$A$5:$A$34,0),"unknown"))</f>
        <v/>
      </c>
      <c r="F38" s="15">
        <f>IF(OR(A38="",E38="",E38="unknown"),0,INDEX(Leases!$T$5:$T$34,E38))</f>
        <v>0</v>
      </c>
      <c r="G38" s="15" t="str">
        <f>IF(A38="","",IF(F38=1,"Leased",IF(H38&lt;&gt;"","Vacant · lease starts later","Vacant")))</f>
        <v/>
      </c>
      <c r="H38" s="31" t="str">
        <f>IF(OR(A38="",E38="",E38="unknown"),"",IF(INDEX(Leases!$S$5:$S$34,E38)="Not started",INDEX(Leases!$C$5:$C$34,E38),""))</f>
        <v/>
      </c>
      <c r="I38" s="15">
        <f>IF(AND(A38&lt;&gt;"",F38=0),1,0)</f>
        <v>0</v>
      </c>
      <c r="J38" s="15" t="str">
        <f>IF(I38=1,COUNTIF($I$5:I38,1),"")</f>
        <v/>
      </c>
      <c r="K38" s="15" t="str">
        <f>IF(C38="","",C38&amp;"|"&amp;COUNTIF($C$5:C38,C38))</f>
        <v/>
      </c>
      <c r="L38" s="15">
        <f>IF(A38="",0,IF(COUNTIF($A$5:$A$54,A38)&gt;1,1,0))</f>
        <v>0</v>
      </c>
      <c r="M38" s="15">
        <f>IF(E38="unknown",1,0)</f>
        <v>0</v>
      </c>
      <c r="N38" s="15">
        <f>IF(A38&lt;&gt;"",IF(OR(NOT(ISNUMBER(B38)),B38&lt;=0),1,0),IF(OR(B38&lt;&gt;"",C38&lt;&gt;""),1,0))</f>
        <v>0</v>
      </c>
    </row>
    <row r="39">
      <c r="A39" s="7" t="n"/>
      <c r="B39" s="10" t="n"/>
      <c r="C39" s="7" t="n"/>
      <c r="D39" s="7" t="n"/>
      <c r="E39" s="15" t="str">
        <f>IF(C39="","",IFERROR(MATCH(C39,Leases!$A$5:$A$34,0),"unknown"))</f>
        <v/>
      </c>
      <c r="F39" s="15">
        <f>IF(OR(A39="",E39="",E39="unknown"),0,INDEX(Leases!$T$5:$T$34,E39))</f>
        <v>0</v>
      </c>
      <c r="G39" s="15" t="str">
        <f>IF(A39="","",IF(F39=1,"Leased",IF(H39&lt;&gt;"","Vacant · lease starts later","Vacant")))</f>
        <v/>
      </c>
      <c r="H39" s="31" t="str">
        <f>IF(OR(A39="",E39="",E39="unknown"),"",IF(INDEX(Leases!$S$5:$S$34,E39)="Not started",INDEX(Leases!$C$5:$C$34,E39),""))</f>
        <v/>
      </c>
      <c r="I39" s="15">
        <f>IF(AND(A39&lt;&gt;"",F39=0),1,0)</f>
        <v>0</v>
      </c>
      <c r="J39" s="15" t="str">
        <f>IF(I39=1,COUNTIF($I$5:I39,1),"")</f>
        <v/>
      </c>
      <c r="K39" s="15" t="str">
        <f>IF(C39="","",C39&amp;"|"&amp;COUNTIF($C$5:C39,C39))</f>
        <v/>
      </c>
      <c r="L39" s="15">
        <f>IF(A39="",0,IF(COUNTIF($A$5:$A$54,A39)&gt;1,1,0))</f>
        <v>0</v>
      </c>
      <c r="M39" s="15">
        <f>IF(E39="unknown",1,0)</f>
        <v>0</v>
      </c>
      <c r="N39" s="15">
        <f>IF(A39&lt;&gt;"",IF(OR(NOT(ISNUMBER(B39)),B39&lt;=0),1,0),IF(OR(B39&lt;&gt;"",C39&lt;&gt;""),1,0))</f>
        <v>0</v>
      </c>
    </row>
    <row r="40">
      <c r="A40" s="7" t="n"/>
      <c r="B40" s="10" t="n"/>
      <c r="C40" s="7" t="n"/>
      <c r="D40" s="7" t="n"/>
      <c r="E40" s="15" t="str">
        <f>IF(C40="","",IFERROR(MATCH(C40,Leases!$A$5:$A$34,0),"unknown"))</f>
        <v/>
      </c>
      <c r="F40" s="15">
        <f>IF(OR(A40="",E40="",E40="unknown"),0,INDEX(Leases!$T$5:$T$34,E40))</f>
        <v>0</v>
      </c>
      <c r="G40" s="15" t="str">
        <f>IF(A40="","",IF(F40=1,"Leased",IF(H40&lt;&gt;"","Vacant · lease starts later","Vacant")))</f>
        <v/>
      </c>
      <c r="H40" s="31" t="str">
        <f>IF(OR(A40="",E40="",E40="unknown"),"",IF(INDEX(Leases!$S$5:$S$34,E40)="Not started",INDEX(Leases!$C$5:$C$34,E40),""))</f>
        <v/>
      </c>
      <c r="I40" s="15">
        <f>IF(AND(A40&lt;&gt;"",F40=0),1,0)</f>
        <v>0</v>
      </c>
      <c r="J40" s="15" t="str">
        <f>IF(I40=1,COUNTIF($I$5:I40,1),"")</f>
        <v/>
      </c>
      <c r="K40" s="15" t="str">
        <f>IF(C40="","",C40&amp;"|"&amp;COUNTIF($C$5:C40,C40))</f>
        <v/>
      </c>
      <c r="L40" s="15">
        <f>IF(A40="",0,IF(COUNTIF($A$5:$A$54,A40)&gt;1,1,0))</f>
        <v>0</v>
      </c>
      <c r="M40" s="15">
        <f>IF(E40="unknown",1,0)</f>
        <v>0</v>
      </c>
      <c r="N40" s="15">
        <f>IF(A40&lt;&gt;"",IF(OR(NOT(ISNUMBER(B40)),B40&lt;=0),1,0),IF(OR(B40&lt;&gt;"",C40&lt;&gt;""),1,0))</f>
        <v>0</v>
      </c>
    </row>
    <row r="41">
      <c r="A41" s="7" t="n"/>
      <c r="B41" s="10" t="n"/>
      <c r="C41" s="7" t="n"/>
      <c r="D41" s="7" t="n"/>
      <c r="E41" s="15" t="str">
        <f>IF(C41="","",IFERROR(MATCH(C41,Leases!$A$5:$A$34,0),"unknown"))</f>
        <v/>
      </c>
      <c r="F41" s="15">
        <f>IF(OR(A41="",E41="",E41="unknown"),0,INDEX(Leases!$T$5:$T$34,E41))</f>
        <v>0</v>
      </c>
      <c r="G41" s="15" t="str">
        <f>IF(A41="","",IF(F41=1,"Leased",IF(H41&lt;&gt;"","Vacant · lease starts later","Vacant")))</f>
        <v/>
      </c>
      <c r="H41" s="31" t="str">
        <f>IF(OR(A41="",E41="",E41="unknown"),"",IF(INDEX(Leases!$S$5:$S$34,E41)="Not started",INDEX(Leases!$C$5:$C$34,E41),""))</f>
        <v/>
      </c>
      <c r="I41" s="15">
        <f>IF(AND(A41&lt;&gt;"",F41=0),1,0)</f>
        <v>0</v>
      </c>
      <c r="J41" s="15" t="str">
        <f>IF(I41=1,COUNTIF($I$5:I41,1),"")</f>
        <v/>
      </c>
      <c r="K41" s="15" t="str">
        <f>IF(C41="","",C41&amp;"|"&amp;COUNTIF($C$5:C41,C41))</f>
        <v/>
      </c>
      <c r="L41" s="15">
        <f>IF(A41="",0,IF(COUNTIF($A$5:$A$54,A41)&gt;1,1,0))</f>
        <v>0</v>
      </c>
      <c r="M41" s="15">
        <f>IF(E41="unknown",1,0)</f>
        <v>0</v>
      </c>
      <c r="N41" s="15">
        <f>IF(A41&lt;&gt;"",IF(OR(NOT(ISNUMBER(B41)),B41&lt;=0),1,0),IF(OR(B41&lt;&gt;"",C41&lt;&gt;""),1,0))</f>
        <v>0</v>
      </c>
    </row>
    <row r="42">
      <c r="A42" s="7" t="n"/>
      <c r="B42" s="10" t="n"/>
      <c r="C42" s="7" t="n"/>
      <c r="D42" s="7" t="n"/>
      <c r="E42" s="15" t="str">
        <f>IF(C42="","",IFERROR(MATCH(C42,Leases!$A$5:$A$34,0),"unknown"))</f>
        <v/>
      </c>
      <c r="F42" s="15">
        <f>IF(OR(A42="",E42="",E42="unknown"),0,INDEX(Leases!$T$5:$T$34,E42))</f>
        <v>0</v>
      </c>
      <c r="G42" s="15" t="str">
        <f>IF(A42="","",IF(F42=1,"Leased",IF(H42&lt;&gt;"","Vacant · lease starts later","Vacant")))</f>
        <v/>
      </c>
      <c r="H42" s="31" t="str">
        <f>IF(OR(A42="",E42="",E42="unknown"),"",IF(INDEX(Leases!$S$5:$S$34,E42)="Not started",INDEX(Leases!$C$5:$C$34,E42),""))</f>
        <v/>
      </c>
      <c r="I42" s="15">
        <f>IF(AND(A42&lt;&gt;"",F42=0),1,0)</f>
        <v>0</v>
      </c>
      <c r="J42" s="15" t="str">
        <f>IF(I42=1,COUNTIF($I$5:I42,1),"")</f>
        <v/>
      </c>
      <c r="K42" s="15" t="str">
        <f>IF(C42="","",C42&amp;"|"&amp;COUNTIF($C$5:C42,C42))</f>
        <v/>
      </c>
      <c r="L42" s="15">
        <f>IF(A42="",0,IF(COUNTIF($A$5:$A$54,A42)&gt;1,1,0))</f>
        <v>0</v>
      </c>
      <c r="M42" s="15">
        <f>IF(E42="unknown",1,0)</f>
        <v>0</v>
      </c>
      <c r="N42" s="15">
        <f>IF(A42&lt;&gt;"",IF(OR(NOT(ISNUMBER(B42)),B42&lt;=0),1,0),IF(OR(B42&lt;&gt;"",C42&lt;&gt;""),1,0))</f>
        <v>0</v>
      </c>
    </row>
    <row r="43">
      <c r="A43" s="7" t="n"/>
      <c r="B43" s="10" t="n"/>
      <c r="C43" s="7" t="n"/>
      <c r="D43" s="7" t="n"/>
      <c r="E43" s="15" t="str">
        <f>IF(C43="","",IFERROR(MATCH(C43,Leases!$A$5:$A$34,0),"unknown"))</f>
        <v/>
      </c>
      <c r="F43" s="15">
        <f>IF(OR(A43="",E43="",E43="unknown"),0,INDEX(Leases!$T$5:$T$34,E43))</f>
        <v>0</v>
      </c>
      <c r="G43" s="15" t="str">
        <f>IF(A43="","",IF(F43=1,"Leased",IF(H43&lt;&gt;"","Vacant · lease starts later","Vacant")))</f>
        <v/>
      </c>
      <c r="H43" s="31" t="str">
        <f>IF(OR(A43="",E43="",E43="unknown"),"",IF(INDEX(Leases!$S$5:$S$34,E43)="Not started",INDEX(Leases!$C$5:$C$34,E43),""))</f>
        <v/>
      </c>
      <c r="I43" s="15">
        <f>IF(AND(A43&lt;&gt;"",F43=0),1,0)</f>
        <v>0</v>
      </c>
      <c r="J43" s="15" t="str">
        <f>IF(I43=1,COUNTIF($I$5:I43,1),"")</f>
        <v/>
      </c>
      <c r="K43" s="15" t="str">
        <f>IF(C43="","",C43&amp;"|"&amp;COUNTIF($C$5:C43,C43))</f>
        <v/>
      </c>
      <c r="L43" s="15">
        <f>IF(A43="",0,IF(COUNTIF($A$5:$A$54,A43)&gt;1,1,0))</f>
        <v>0</v>
      </c>
      <c r="M43" s="15">
        <f>IF(E43="unknown",1,0)</f>
        <v>0</v>
      </c>
      <c r="N43" s="15">
        <f>IF(A43&lt;&gt;"",IF(OR(NOT(ISNUMBER(B43)),B43&lt;=0),1,0),IF(OR(B43&lt;&gt;"",C43&lt;&gt;""),1,0))</f>
        <v>0</v>
      </c>
    </row>
    <row r="44">
      <c r="A44" s="7" t="n"/>
      <c r="B44" s="10" t="n"/>
      <c r="C44" s="7" t="n"/>
      <c r="D44" s="7" t="n"/>
      <c r="E44" s="15" t="str">
        <f>IF(C44="","",IFERROR(MATCH(C44,Leases!$A$5:$A$34,0),"unknown"))</f>
        <v/>
      </c>
      <c r="F44" s="15">
        <f>IF(OR(A44="",E44="",E44="unknown"),0,INDEX(Leases!$T$5:$T$34,E44))</f>
        <v>0</v>
      </c>
      <c r="G44" s="15" t="str">
        <f>IF(A44="","",IF(F44=1,"Leased",IF(H44&lt;&gt;"","Vacant · lease starts later","Vacant")))</f>
        <v/>
      </c>
      <c r="H44" s="31" t="str">
        <f>IF(OR(A44="",E44="",E44="unknown"),"",IF(INDEX(Leases!$S$5:$S$34,E44)="Not started",INDEX(Leases!$C$5:$C$34,E44),""))</f>
        <v/>
      </c>
      <c r="I44" s="15">
        <f>IF(AND(A44&lt;&gt;"",F44=0),1,0)</f>
        <v>0</v>
      </c>
      <c r="J44" s="15" t="str">
        <f>IF(I44=1,COUNTIF($I$5:I44,1),"")</f>
        <v/>
      </c>
      <c r="K44" s="15" t="str">
        <f>IF(C44="","",C44&amp;"|"&amp;COUNTIF($C$5:C44,C44))</f>
        <v/>
      </c>
      <c r="L44" s="15">
        <f>IF(A44="",0,IF(COUNTIF($A$5:$A$54,A44)&gt;1,1,0))</f>
        <v>0</v>
      </c>
      <c r="M44" s="15">
        <f>IF(E44="unknown",1,0)</f>
        <v>0</v>
      </c>
      <c r="N44" s="15">
        <f>IF(A44&lt;&gt;"",IF(OR(NOT(ISNUMBER(B44)),B44&lt;=0),1,0),IF(OR(B44&lt;&gt;"",C44&lt;&gt;""),1,0))</f>
        <v>0</v>
      </c>
    </row>
    <row r="45">
      <c r="A45" s="7" t="n"/>
      <c r="B45" s="10" t="n"/>
      <c r="C45" s="7" t="n"/>
      <c r="D45" s="7" t="n"/>
      <c r="E45" s="15" t="str">
        <f>IF(C45="","",IFERROR(MATCH(C45,Leases!$A$5:$A$34,0),"unknown"))</f>
        <v/>
      </c>
      <c r="F45" s="15">
        <f>IF(OR(A45="",E45="",E45="unknown"),0,INDEX(Leases!$T$5:$T$34,E45))</f>
        <v>0</v>
      </c>
      <c r="G45" s="15" t="str">
        <f>IF(A45="","",IF(F45=1,"Leased",IF(H45&lt;&gt;"","Vacant · lease starts later","Vacant")))</f>
        <v/>
      </c>
      <c r="H45" s="31" t="str">
        <f>IF(OR(A45="",E45="",E45="unknown"),"",IF(INDEX(Leases!$S$5:$S$34,E45)="Not started",INDEX(Leases!$C$5:$C$34,E45),""))</f>
        <v/>
      </c>
      <c r="I45" s="15">
        <f>IF(AND(A45&lt;&gt;"",F45=0),1,0)</f>
        <v>0</v>
      </c>
      <c r="J45" s="15" t="str">
        <f>IF(I45=1,COUNTIF($I$5:I45,1),"")</f>
        <v/>
      </c>
      <c r="K45" s="15" t="str">
        <f>IF(C45="","",C45&amp;"|"&amp;COUNTIF($C$5:C45,C45))</f>
        <v/>
      </c>
      <c r="L45" s="15">
        <f>IF(A45="",0,IF(COUNTIF($A$5:$A$54,A45)&gt;1,1,0))</f>
        <v>0</v>
      </c>
      <c r="M45" s="15">
        <f>IF(E45="unknown",1,0)</f>
        <v>0</v>
      </c>
      <c r="N45" s="15">
        <f>IF(A45&lt;&gt;"",IF(OR(NOT(ISNUMBER(B45)),B45&lt;=0),1,0),IF(OR(B45&lt;&gt;"",C45&lt;&gt;""),1,0))</f>
        <v>0</v>
      </c>
    </row>
    <row r="46">
      <c r="A46" s="7" t="n"/>
      <c r="B46" s="10" t="n"/>
      <c r="C46" s="7" t="n"/>
      <c r="D46" s="7" t="n"/>
      <c r="E46" s="15" t="str">
        <f>IF(C46="","",IFERROR(MATCH(C46,Leases!$A$5:$A$34,0),"unknown"))</f>
        <v/>
      </c>
      <c r="F46" s="15">
        <f>IF(OR(A46="",E46="",E46="unknown"),0,INDEX(Leases!$T$5:$T$34,E46))</f>
        <v>0</v>
      </c>
      <c r="G46" s="15" t="str">
        <f>IF(A46="","",IF(F46=1,"Leased",IF(H46&lt;&gt;"","Vacant · lease starts later","Vacant")))</f>
        <v/>
      </c>
      <c r="H46" s="31" t="str">
        <f>IF(OR(A46="",E46="",E46="unknown"),"",IF(INDEX(Leases!$S$5:$S$34,E46)="Not started",INDEX(Leases!$C$5:$C$34,E46),""))</f>
        <v/>
      </c>
      <c r="I46" s="15">
        <f>IF(AND(A46&lt;&gt;"",F46=0),1,0)</f>
        <v>0</v>
      </c>
      <c r="J46" s="15" t="str">
        <f>IF(I46=1,COUNTIF($I$5:I46,1),"")</f>
        <v/>
      </c>
      <c r="K46" s="15" t="str">
        <f>IF(C46="","",C46&amp;"|"&amp;COUNTIF($C$5:C46,C46))</f>
        <v/>
      </c>
      <c r="L46" s="15">
        <f>IF(A46="",0,IF(COUNTIF($A$5:$A$54,A46)&gt;1,1,0))</f>
        <v>0</v>
      </c>
      <c r="M46" s="15">
        <f>IF(E46="unknown",1,0)</f>
        <v>0</v>
      </c>
      <c r="N46" s="15">
        <f>IF(A46&lt;&gt;"",IF(OR(NOT(ISNUMBER(B46)),B46&lt;=0),1,0),IF(OR(B46&lt;&gt;"",C46&lt;&gt;""),1,0))</f>
        <v>0</v>
      </c>
    </row>
    <row r="47">
      <c r="A47" s="7" t="n"/>
      <c r="B47" s="10" t="n"/>
      <c r="C47" s="7" t="n"/>
      <c r="D47" s="7" t="n"/>
      <c r="E47" s="15" t="str">
        <f>IF(C47="","",IFERROR(MATCH(C47,Leases!$A$5:$A$34,0),"unknown"))</f>
        <v/>
      </c>
      <c r="F47" s="15">
        <f>IF(OR(A47="",E47="",E47="unknown"),0,INDEX(Leases!$T$5:$T$34,E47))</f>
        <v>0</v>
      </c>
      <c r="G47" s="15" t="str">
        <f>IF(A47="","",IF(F47=1,"Leased",IF(H47&lt;&gt;"","Vacant · lease starts later","Vacant")))</f>
        <v/>
      </c>
      <c r="H47" s="31" t="str">
        <f>IF(OR(A47="",E47="",E47="unknown"),"",IF(INDEX(Leases!$S$5:$S$34,E47)="Not started",INDEX(Leases!$C$5:$C$34,E47),""))</f>
        <v/>
      </c>
      <c r="I47" s="15">
        <f>IF(AND(A47&lt;&gt;"",F47=0),1,0)</f>
        <v>0</v>
      </c>
      <c r="J47" s="15" t="str">
        <f>IF(I47=1,COUNTIF($I$5:I47,1),"")</f>
        <v/>
      </c>
      <c r="K47" s="15" t="str">
        <f>IF(C47="","",C47&amp;"|"&amp;COUNTIF($C$5:C47,C47))</f>
        <v/>
      </c>
      <c r="L47" s="15">
        <f>IF(A47="",0,IF(COUNTIF($A$5:$A$54,A47)&gt;1,1,0))</f>
        <v>0</v>
      </c>
      <c r="M47" s="15">
        <f>IF(E47="unknown",1,0)</f>
        <v>0</v>
      </c>
      <c r="N47" s="15">
        <f>IF(A47&lt;&gt;"",IF(OR(NOT(ISNUMBER(B47)),B47&lt;=0),1,0),IF(OR(B47&lt;&gt;"",C47&lt;&gt;""),1,0))</f>
        <v>0</v>
      </c>
    </row>
    <row r="48">
      <c r="A48" s="7" t="n"/>
      <c r="B48" s="10" t="n"/>
      <c r="C48" s="7" t="n"/>
      <c r="D48" s="7" t="n"/>
      <c r="E48" s="15" t="str">
        <f>IF(C48="","",IFERROR(MATCH(C48,Leases!$A$5:$A$34,0),"unknown"))</f>
        <v/>
      </c>
      <c r="F48" s="15">
        <f>IF(OR(A48="",E48="",E48="unknown"),0,INDEX(Leases!$T$5:$T$34,E48))</f>
        <v>0</v>
      </c>
      <c r="G48" s="15" t="str">
        <f>IF(A48="","",IF(F48=1,"Leased",IF(H48&lt;&gt;"","Vacant · lease starts later","Vacant")))</f>
        <v/>
      </c>
      <c r="H48" s="31" t="str">
        <f>IF(OR(A48="",E48="",E48="unknown"),"",IF(INDEX(Leases!$S$5:$S$34,E48)="Not started",INDEX(Leases!$C$5:$C$34,E48),""))</f>
        <v/>
      </c>
      <c r="I48" s="15">
        <f>IF(AND(A48&lt;&gt;"",F48=0),1,0)</f>
        <v>0</v>
      </c>
      <c r="J48" s="15" t="str">
        <f>IF(I48=1,COUNTIF($I$5:I48,1),"")</f>
        <v/>
      </c>
      <c r="K48" s="15" t="str">
        <f>IF(C48="","",C48&amp;"|"&amp;COUNTIF($C$5:C48,C48))</f>
        <v/>
      </c>
      <c r="L48" s="15">
        <f>IF(A48="",0,IF(COUNTIF($A$5:$A$54,A48)&gt;1,1,0))</f>
        <v>0</v>
      </c>
      <c r="M48" s="15">
        <f>IF(E48="unknown",1,0)</f>
        <v>0</v>
      </c>
      <c r="N48" s="15">
        <f>IF(A48&lt;&gt;"",IF(OR(NOT(ISNUMBER(B48)),B48&lt;=0),1,0),IF(OR(B48&lt;&gt;"",C48&lt;&gt;""),1,0))</f>
        <v>0</v>
      </c>
    </row>
    <row r="49">
      <c r="A49" s="7" t="n"/>
      <c r="B49" s="10" t="n"/>
      <c r="C49" s="7" t="n"/>
      <c r="D49" s="7" t="n"/>
      <c r="E49" s="15" t="str">
        <f>IF(C49="","",IFERROR(MATCH(C49,Leases!$A$5:$A$34,0),"unknown"))</f>
        <v/>
      </c>
      <c r="F49" s="15">
        <f>IF(OR(A49="",E49="",E49="unknown"),0,INDEX(Leases!$T$5:$T$34,E49))</f>
        <v>0</v>
      </c>
      <c r="G49" s="15" t="str">
        <f>IF(A49="","",IF(F49=1,"Leased",IF(H49&lt;&gt;"","Vacant · lease starts later","Vacant")))</f>
        <v/>
      </c>
      <c r="H49" s="31" t="str">
        <f>IF(OR(A49="",E49="",E49="unknown"),"",IF(INDEX(Leases!$S$5:$S$34,E49)="Not started",INDEX(Leases!$C$5:$C$34,E49),""))</f>
        <v/>
      </c>
      <c r="I49" s="15">
        <f>IF(AND(A49&lt;&gt;"",F49=0),1,0)</f>
        <v>0</v>
      </c>
      <c r="J49" s="15" t="str">
        <f>IF(I49=1,COUNTIF($I$5:I49,1),"")</f>
        <v/>
      </c>
      <c r="K49" s="15" t="str">
        <f>IF(C49="","",C49&amp;"|"&amp;COUNTIF($C$5:C49,C49))</f>
        <v/>
      </c>
      <c r="L49" s="15">
        <f>IF(A49="",0,IF(COUNTIF($A$5:$A$54,A49)&gt;1,1,0))</f>
        <v>0</v>
      </c>
      <c r="M49" s="15">
        <f>IF(E49="unknown",1,0)</f>
        <v>0</v>
      </c>
      <c r="N49" s="15">
        <f>IF(A49&lt;&gt;"",IF(OR(NOT(ISNUMBER(B49)),B49&lt;=0),1,0),IF(OR(B49&lt;&gt;"",C49&lt;&gt;""),1,0))</f>
        <v>0</v>
      </c>
    </row>
    <row r="50">
      <c r="A50" s="7" t="n"/>
      <c r="B50" s="10" t="n"/>
      <c r="C50" s="7" t="n"/>
      <c r="D50" s="7" t="n"/>
      <c r="E50" s="15" t="str">
        <f>IF(C50="","",IFERROR(MATCH(C50,Leases!$A$5:$A$34,0),"unknown"))</f>
        <v/>
      </c>
      <c r="F50" s="15">
        <f>IF(OR(A50="",E50="",E50="unknown"),0,INDEX(Leases!$T$5:$T$34,E50))</f>
        <v>0</v>
      </c>
      <c r="G50" s="15" t="str">
        <f>IF(A50="","",IF(F50=1,"Leased",IF(H50&lt;&gt;"","Vacant · lease starts later","Vacant")))</f>
        <v/>
      </c>
      <c r="H50" s="31" t="str">
        <f>IF(OR(A50="",E50="",E50="unknown"),"",IF(INDEX(Leases!$S$5:$S$34,E50)="Not started",INDEX(Leases!$C$5:$C$34,E50),""))</f>
        <v/>
      </c>
      <c r="I50" s="15">
        <f>IF(AND(A50&lt;&gt;"",F50=0),1,0)</f>
        <v>0</v>
      </c>
      <c r="J50" s="15" t="str">
        <f>IF(I50=1,COUNTIF($I$5:I50,1),"")</f>
        <v/>
      </c>
      <c r="K50" s="15" t="str">
        <f>IF(C50="","",C50&amp;"|"&amp;COUNTIF($C$5:C50,C50))</f>
        <v/>
      </c>
      <c r="L50" s="15">
        <f>IF(A50="",0,IF(COUNTIF($A$5:$A$54,A50)&gt;1,1,0))</f>
        <v>0</v>
      </c>
      <c r="M50" s="15">
        <f>IF(E50="unknown",1,0)</f>
        <v>0</v>
      </c>
      <c r="N50" s="15">
        <f>IF(A50&lt;&gt;"",IF(OR(NOT(ISNUMBER(B50)),B50&lt;=0),1,0),IF(OR(B50&lt;&gt;"",C50&lt;&gt;""),1,0))</f>
        <v>0</v>
      </c>
    </row>
    <row r="51">
      <c r="A51" s="7" t="n"/>
      <c r="B51" s="10" t="n"/>
      <c r="C51" s="7" t="n"/>
      <c r="D51" s="7" t="n"/>
      <c r="E51" s="15" t="str">
        <f>IF(C51="","",IFERROR(MATCH(C51,Leases!$A$5:$A$34,0),"unknown"))</f>
        <v/>
      </c>
      <c r="F51" s="15">
        <f>IF(OR(A51="",E51="",E51="unknown"),0,INDEX(Leases!$T$5:$T$34,E51))</f>
        <v>0</v>
      </c>
      <c r="G51" s="15" t="str">
        <f>IF(A51="","",IF(F51=1,"Leased",IF(H51&lt;&gt;"","Vacant · lease starts later","Vacant")))</f>
        <v/>
      </c>
      <c r="H51" s="31" t="str">
        <f>IF(OR(A51="",E51="",E51="unknown"),"",IF(INDEX(Leases!$S$5:$S$34,E51)="Not started",INDEX(Leases!$C$5:$C$34,E51),""))</f>
        <v/>
      </c>
      <c r="I51" s="15">
        <f>IF(AND(A51&lt;&gt;"",F51=0),1,0)</f>
        <v>0</v>
      </c>
      <c r="J51" s="15" t="str">
        <f>IF(I51=1,COUNTIF($I$5:I51,1),"")</f>
        <v/>
      </c>
      <c r="K51" s="15" t="str">
        <f>IF(C51="","",C51&amp;"|"&amp;COUNTIF($C$5:C51,C51))</f>
        <v/>
      </c>
      <c r="L51" s="15">
        <f>IF(A51="",0,IF(COUNTIF($A$5:$A$54,A51)&gt;1,1,0))</f>
        <v>0</v>
      </c>
      <c r="M51" s="15">
        <f>IF(E51="unknown",1,0)</f>
        <v>0</v>
      </c>
      <c r="N51" s="15">
        <f>IF(A51&lt;&gt;"",IF(OR(NOT(ISNUMBER(B51)),B51&lt;=0),1,0),IF(OR(B51&lt;&gt;"",C51&lt;&gt;""),1,0))</f>
        <v>0</v>
      </c>
    </row>
    <row r="52">
      <c r="A52" s="7" t="n"/>
      <c r="B52" s="10" t="n"/>
      <c r="C52" s="7" t="n"/>
      <c r="D52" s="7" t="n"/>
      <c r="E52" s="15" t="str">
        <f>IF(C52="","",IFERROR(MATCH(C52,Leases!$A$5:$A$34,0),"unknown"))</f>
        <v/>
      </c>
      <c r="F52" s="15">
        <f>IF(OR(A52="",E52="",E52="unknown"),0,INDEX(Leases!$T$5:$T$34,E52))</f>
        <v>0</v>
      </c>
      <c r="G52" s="15" t="str">
        <f>IF(A52="","",IF(F52=1,"Leased",IF(H52&lt;&gt;"","Vacant · lease starts later","Vacant")))</f>
        <v/>
      </c>
      <c r="H52" s="31" t="str">
        <f>IF(OR(A52="",E52="",E52="unknown"),"",IF(INDEX(Leases!$S$5:$S$34,E52)="Not started",INDEX(Leases!$C$5:$C$34,E52),""))</f>
        <v/>
      </c>
      <c r="I52" s="15">
        <f>IF(AND(A52&lt;&gt;"",F52=0),1,0)</f>
        <v>0</v>
      </c>
      <c r="J52" s="15" t="str">
        <f>IF(I52=1,COUNTIF($I$5:I52,1),"")</f>
        <v/>
      </c>
      <c r="K52" s="15" t="str">
        <f>IF(C52="","",C52&amp;"|"&amp;COUNTIF($C$5:C52,C52))</f>
        <v/>
      </c>
      <c r="L52" s="15">
        <f>IF(A52="",0,IF(COUNTIF($A$5:$A$54,A52)&gt;1,1,0))</f>
        <v>0</v>
      </c>
      <c r="M52" s="15">
        <f>IF(E52="unknown",1,0)</f>
        <v>0</v>
      </c>
      <c r="N52" s="15">
        <f>IF(A52&lt;&gt;"",IF(OR(NOT(ISNUMBER(B52)),B52&lt;=0),1,0),IF(OR(B52&lt;&gt;"",C52&lt;&gt;""),1,0))</f>
        <v>0</v>
      </c>
    </row>
    <row r="53">
      <c r="A53" s="7" t="n"/>
      <c r="B53" s="10" t="n"/>
      <c r="C53" s="7" t="n"/>
      <c r="D53" s="7" t="n"/>
      <c r="E53" s="15" t="str">
        <f>IF(C53="","",IFERROR(MATCH(C53,Leases!$A$5:$A$34,0),"unknown"))</f>
        <v/>
      </c>
      <c r="F53" s="15">
        <f>IF(OR(A53="",E53="",E53="unknown"),0,INDEX(Leases!$T$5:$T$34,E53))</f>
        <v>0</v>
      </c>
      <c r="G53" s="15" t="str">
        <f>IF(A53="","",IF(F53=1,"Leased",IF(H53&lt;&gt;"","Vacant · lease starts later","Vacant")))</f>
        <v/>
      </c>
      <c r="H53" s="31" t="str">
        <f>IF(OR(A53="",E53="",E53="unknown"),"",IF(INDEX(Leases!$S$5:$S$34,E53)="Not started",INDEX(Leases!$C$5:$C$34,E53),""))</f>
        <v/>
      </c>
      <c r="I53" s="15">
        <f>IF(AND(A53&lt;&gt;"",F53=0),1,0)</f>
        <v>0</v>
      </c>
      <c r="J53" s="15" t="str">
        <f>IF(I53=1,COUNTIF($I$5:I53,1),"")</f>
        <v/>
      </c>
      <c r="K53" s="15" t="str">
        <f>IF(C53="","",C53&amp;"|"&amp;COUNTIF($C$5:C53,C53))</f>
        <v/>
      </c>
      <c r="L53" s="15">
        <f>IF(A53="",0,IF(COUNTIF($A$5:$A$54,A53)&gt;1,1,0))</f>
        <v>0</v>
      </c>
      <c r="M53" s="15">
        <f>IF(E53="unknown",1,0)</f>
        <v>0</v>
      </c>
      <c r="N53" s="15">
        <f>IF(A53&lt;&gt;"",IF(OR(NOT(ISNUMBER(B53)),B53&lt;=0),1,0),IF(OR(B53&lt;&gt;"",C53&lt;&gt;""),1,0))</f>
        <v>0</v>
      </c>
    </row>
    <row r="54">
      <c r="A54" s="7" t="n"/>
      <c r="B54" s="10" t="n"/>
      <c r="C54" s="7" t="n"/>
      <c r="D54" s="7" t="n"/>
      <c r="E54" s="15" t="str">
        <f>IF(C54="","",IFERROR(MATCH(C54,Leases!$A$5:$A$34,0),"unknown"))</f>
        <v/>
      </c>
      <c r="F54" s="15">
        <f>IF(OR(A54="",E54="",E54="unknown"),0,INDEX(Leases!$T$5:$T$34,E54))</f>
        <v>0</v>
      </c>
      <c r="G54" s="15" t="str">
        <f>IF(A54="","",IF(F54=1,"Leased",IF(H54&lt;&gt;"","Vacant · lease starts later","Vacant")))</f>
        <v/>
      </c>
      <c r="H54" s="31" t="str">
        <f>IF(OR(A54="",E54="",E54="unknown"),"",IF(INDEX(Leases!$S$5:$S$34,E54)="Not started",INDEX(Leases!$C$5:$C$34,E54),""))</f>
        <v/>
      </c>
      <c r="I54" s="15">
        <f>IF(AND(A54&lt;&gt;"",F54=0),1,0)</f>
        <v>0</v>
      </c>
      <c r="J54" s="15" t="str">
        <f>IF(I54=1,COUNTIF($I$5:I54,1),"")</f>
        <v/>
      </c>
      <c r="K54" s="15" t="str">
        <f>IF(C54="","",C54&amp;"|"&amp;COUNTIF($C$5:C54,C54))</f>
        <v/>
      </c>
      <c r="L54" s="15">
        <f>IF(A54="",0,IF(COUNTIF($A$5:$A$54,A54)&gt;1,1,0))</f>
        <v>0</v>
      </c>
      <c r="M54" s="15">
        <f>IF(E54="unknown",1,0)</f>
        <v>0</v>
      </c>
      <c r="N54" s="15">
        <f>IF(A54&lt;&gt;"",IF(OR(NOT(ISNUMBER(B54)),B54&lt;=0),1,0),IF(OR(B54&lt;&gt;"",C54&lt;&gt;""),1,0))</f>
        <v>0</v>
      </c>
    </row>
    <row r="56">
      <c r="B56" s="32">
        <f>COUNTA(A5:A54)</f>
        <v>4</v>
      </c>
      <c r="C56" s="6" t="inlineStr">
        <is>
          <t>Units</t>
        </is>
      </c>
    </row>
    <row r="57">
      <c r="B57" s="33">
        <f>SUM(B5:B54)</f>
        <v>5000</v>
      </c>
      <c r="C57" s="6" t="inlineStr">
        <is>
          <t>Units area (sq ft)</t>
        </is>
      </c>
    </row>
    <row r="58">
      <c r="B58" s="32">
        <f>SUM(F5:F54)</f>
        <v>3</v>
      </c>
      <c r="C58" s="6" t="inlineStr">
        <is>
          <t>Leased units</t>
        </is>
      </c>
    </row>
    <row r="59">
      <c r="B59" s="32">
        <f>SUM(I5:I54)</f>
        <v>1</v>
      </c>
      <c r="C59" s="6" t="inlineStr">
        <is>
          <t>Vacant units</t>
        </is>
      </c>
    </row>
    <row r="60">
      <c r="B60" s="33">
        <f>SUMIFS(B5:B54,I5:I54,1)</f>
        <v>1000</v>
      </c>
      <c r="C60" s="6" t="inlineStr">
        <is>
          <t>Vacant area (sq ft)</t>
        </is>
      </c>
    </row>
  </sheetData>
  <mergeCells count="1">
    <mergeCell ref="E3:N3"/>
  </mergeCells>
  <printOptions horizontalCentered="1"/>
  <pageMargins left="0.75" right="0.75" top="1" bottom="1"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AU34"/>
  <sheetViews>
    <sheetView showGridLines="1"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11" customWidth="1" min="3" max="3"/>
    <col width="12" customWidth="1" min="4" max="4"/>
    <col width="13" customWidth="1" min="5" max="5"/>
    <col width="13" customWidth="1" min="6" max="6"/>
    <col width="11" customWidth="1" min="7" max="7"/>
    <col width="12" customWidth="1" min="8" max="8"/>
    <col width="10" customWidth="1" min="9" max="9"/>
    <col width="10" customWidth="1" min="10" max="10"/>
    <col width="11" customWidth="1" min="11" max="11"/>
    <col width="11" customWidth="1" min="12" max="12"/>
    <col width="13" customWidth="1" min="13" max="13"/>
    <col width="12" customWidth="1" min="14" max="14"/>
    <col width="12" customWidth="1" min="15" max="15"/>
    <col width="12" customWidth="1" min="16" max="16"/>
    <col width="13" customWidth="1" min="17" max="17"/>
    <col width="26" customWidth="1" min="18" max="18"/>
    <col width="14" customWidth="1" min="19" max="19"/>
    <col width="12" customWidth="1" min="20" max="20"/>
    <col width="12" customWidth="1" min="21" max="21"/>
    <col width="16"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12" customWidth="1" min="31" max="31"/>
    <col width="12" customWidth="1" min="32" max="32"/>
    <col width="12" customWidth="1" min="33" max="33"/>
    <col width="12" customWidth="1" min="34" max="34"/>
    <col width="12" customWidth="1" min="35" max="35"/>
    <col width="12" customWidth="1" min="36" max="36"/>
    <col width="12" customWidth="1" min="37" max="37"/>
    <col width="12" customWidth="1" min="38" max="38"/>
    <col width="12" customWidth="1" min="39" max="39"/>
    <col width="12" customWidth="1" min="40" max="40"/>
    <col width="12" customWidth="1" min="41" max="41"/>
    <col width="12" customWidth="1" min="42" max="42"/>
    <col width="8" customWidth="1" min="43" max="43"/>
    <col width="10" customWidth="1" min="44" max="44"/>
    <col width="9" customWidth="1" min="45" max="45"/>
    <col width="9" customWidth="1" min="46" max="46"/>
    <col width="9" customWidth="1" min="47" max="47"/>
  </cols>
  <sheetData>
    <row r="1">
      <c r="A1" s="5" t="inlineStr">
        <is>
          <t>Leases</t>
        </is>
      </c>
    </row>
    <row r="2">
      <c r="A2" s="8" t="inlineStr">
        <is>
          <t>One row per lease. Yellow cells are yours; columns S onward are computed. Rent before any abatement; one next change. Delete the example rows before entering your own.</t>
        </is>
      </c>
    </row>
    <row r="3">
      <c r="S3" s="30" t="inlineStr">
        <is>
          <t>Computed: leave these</t>
        </is>
      </c>
    </row>
    <row r="4" ht="56" customHeight="1">
      <c r="A4" s="14" t="inlineStr">
        <is>
          <t>Lease ID</t>
        </is>
      </c>
      <c r="B4" s="14" t="inlineStr">
        <is>
          <t>Tenant (legal name, as on the lease)</t>
        </is>
      </c>
      <c r="C4" s="14" t="inlineStr">
        <is>
          <t>Lease start</t>
        </is>
      </c>
      <c r="D4" s="14" t="inlineStr">
        <is>
          <t>Lease end (blank: no end; included)</t>
        </is>
      </c>
      <c r="E4" s="14" t="inlineStr">
        <is>
          <t>Rent commencement (blank: lease start)</t>
        </is>
      </c>
      <c r="F4" s="14" t="inlineStr">
        <is>
          <t>Monthly base rent ($, before abatement)</t>
        </is>
      </c>
      <c r="G4" s="14" t="inlineStr">
        <is>
          <t>Next change on</t>
        </is>
      </c>
      <c r="H4" s="14" t="inlineStr">
        <is>
          <t>Next monthly rent ($)</t>
        </is>
      </c>
      <c r="I4" s="14" t="inlineStr">
        <is>
          <t>Rent awaiting index? (Y/N)</t>
        </is>
      </c>
      <c r="J4" s="14" t="inlineStr">
        <is>
          <t>Abatement %</t>
        </is>
      </c>
      <c r="K4" s="14" t="inlineStr">
        <is>
          <t>Abated from (blank: from the start)</t>
        </is>
      </c>
      <c r="L4" s="14" t="inlineStr">
        <is>
          <t>Abated through (included)</t>
        </is>
      </c>
      <c r="M4" s="14" t="inlineStr">
        <is>
          <t>CAM / recovery estimate ($/month)</t>
        </is>
      </c>
      <c r="N4" s="14" t="inlineStr">
        <is>
          <t>Cash deposit held ($)</t>
        </is>
      </c>
      <c r="O4" s="14" t="inlineStr">
        <is>
          <t>Letter of credit ($)</t>
        </is>
      </c>
      <c r="P4" s="14" t="inlineStr">
        <is>
          <t>Letter of credit expires (blank: no expiry)</t>
        </is>
      </c>
      <c r="Q4" s="14" t="inlineStr">
        <is>
          <t>Tenant balance ($; negative = credit)</t>
        </is>
      </c>
      <c r="R4" s="14" t="inlineStr">
        <is>
          <t>Options / notes</t>
        </is>
      </c>
      <c r="S4" s="14" t="inlineStr">
        <is>
          <t>Status on the date</t>
        </is>
      </c>
      <c r="T4" s="14" t="inlineStr">
        <is>
          <t>In force (1/0)</t>
        </is>
      </c>
      <c r="U4" s="14" t="inlineStr">
        <is>
          <t>Units</t>
        </is>
      </c>
      <c r="V4" s="14" t="inlineStr">
        <is>
          <t>Unit(s)</t>
        </is>
      </c>
      <c r="W4" s="14" t="inlineStr">
        <is>
          <t>Area (sq ft)</t>
        </is>
      </c>
      <c r="X4" s="14" t="inlineStr">
        <is>
          <t>Monthly rent on the date</t>
        </is>
      </c>
      <c r="Y4" s="14" t="inlineStr">
        <is>
          <t>Annual rent</t>
        </is>
      </c>
      <c r="Z4" s="14" t="inlineStr">
        <is>
          <t>$/sq ft/yr</t>
        </is>
      </c>
      <c r="AA4" s="14" t="inlineStr">
        <is>
          <t>Next change on</t>
        </is>
      </c>
      <c r="AB4" s="14" t="inlineStr">
        <is>
          <t>Next monthly rent</t>
        </is>
      </c>
      <c r="AC4" s="14" t="inlineStr">
        <is>
          <t>Rent not started (1/0)</t>
        </is>
      </c>
      <c r="AD4" s="14" t="inlineStr">
        <is>
          <t>Abated on the date (1/0)</t>
        </is>
      </c>
      <c r="AE4" s="14" t="inlineStr">
        <is>
          <t>Not charged on the date ($)</t>
        </is>
      </c>
      <c r="AF4" s="14" t="inlineStr">
        <is>
          <t>Deposit held ($)</t>
        </is>
      </c>
      <c r="AG4" s="14" t="inlineStr">
        <is>
          <t>Letter of credit expired (1/0)</t>
        </is>
      </c>
      <c r="AH4" s="14" t="inlineStr">
        <is>
          <t>Balance on the roll</t>
        </is>
      </c>
      <c r="AI4" s="14" t="inlineStr">
        <is>
          <t>Rent counted (1/0)</t>
        </is>
      </c>
      <c r="AJ4" s="14" t="inlineStr">
        <is>
          <t>Awaiting index on the date (1/0)</t>
        </is>
      </c>
      <c r="AK4" s="14" t="inlineStr">
        <is>
          <t>Days remaining</t>
        </is>
      </c>
      <c r="AL4" s="14" t="inlineStr">
        <is>
          <t>Expiry year</t>
        </is>
      </c>
      <c r="AM4" s="14" t="inlineStr">
        <is>
          <t>Days × annual rent</t>
        </is>
      </c>
      <c r="AN4" s="14" t="inlineStr">
        <is>
          <t>Annual rent in the WALT</t>
        </is>
      </c>
      <c r="AO4" s="14" t="inlineStr">
        <is>
          <t>Days × area</t>
        </is>
      </c>
      <c r="AP4" s="14" t="inlineStr">
        <is>
          <t>Area in the WALT</t>
        </is>
      </c>
      <c r="AQ4" s="14" t="inlineStr">
        <is>
          <t>helper: roll line</t>
        </is>
      </c>
      <c r="AR4" s="14" t="inlineStr">
        <is>
          <t>helper: rank key</t>
        </is>
      </c>
      <c r="AS4" s="14" t="inlineStr">
        <is>
          <t>helper: duplicate ID (1/0)</t>
        </is>
      </c>
      <c r="AT4" s="14" t="inlineStr">
        <is>
          <t>helper: data error (1/0)</t>
        </is>
      </c>
      <c r="AU4" s="14" t="inlineStr">
        <is>
          <t>helper: no units (1/0)</t>
        </is>
      </c>
    </row>
    <row r="5">
      <c r="A5" s="7" t="inlineStr">
        <is>
          <t>A</t>
        </is>
      </c>
      <c r="B5" s="7" t="inlineStr">
        <is>
          <t>Tenant A, LLC</t>
        </is>
      </c>
      <c r="C5" s="9" t="n">
        <v>45658</v>
      </c>
      <c r="D5" s="9" t="n">
        <v>47118</v>
      </c>
      <c r="E5" s="9" t="n"/>
      <c r="F5" s="34" t="n">
        <v>5000</v>
      </c>
      <c r="G5" s="9" t="n">
        <v>46296</v>
      </c>
      <c r="H5" s="34" t="n">
        <v>5150</v>
      </c>
      <c r="I5" s="7" t="inlineStr">
        <is>
          <t>N</t>
        </is>
      </c>
      <c r="J5" s="35" t="n"/>
      <c r="K5" s="9" t="n"/>
      <c r="L5" s="9" t="n"/>
      <c r="M5" s="34" t="n">
        <v>1200</v>
      </c>
      <c r="N5" s="34" t="n">
        <v>10000</v>
      </c>
      <c r="O5" s="34" t="n">
        <v>25000</v>
      </c>
      <c r="P5" s="9" t="n">
        <v>46203</v>
      </c>
      <c r="Q5" s="34" t="n">
        <v>1250.5</v>
      </c>
      <c r="R5" s="7" t="n"/>
      <c r="S5" s="15" t="str">
        <f>IF(A5="","",IF(C5="","Start date missing",IF(C5&gt;'Rent roll'!$B$4,"Not started",IF(AND(D5&lt;&gt;"",D5&lt;'Rent roll'!$B$4),"Ended","In force"))))</f>
        <v>In force</v>
      </c>
      <c r="T5" s="15">
        <f>IF(S5="In force",1,0)</f>
        <v>1</v>
      </c>
      <c r="U5" s="15">
        <f>IF(A5="",0,COUNTIF(Units!$C$5:$C$54,A5))</f>
        <v>2</v>
      </c>
      <c r="V5" s="15" t="str">
        <f>IF(U5=0,"",IFERROR(""&amp;INDEX(Units!$A$5:$A$54,MATCH(A5&amp;"|1",Units!$K$5:$K$54,0)),"")&amp;IF(U5&gt;=2,", "&amp;IFERROR(""&amp;INDEX(Units!$A$5:$A$54,MATCH(A5&amp;"|2",Units!$K$5:$K$54,0)),""),"")&amp;IF(U5&gt;=3,", "&amp;IFERROR(""&amp;INDEX(Units!$A$5:$A$54,MATCH(A5&amp;"|3",Units!$K$5:$K$54,0)),""),"")&amp;IF(U5&gt;3,", +"&amp;(U5-3)&amp;" more",""))</f>
        <v>101, 102</v>
      </c>
      <c r="W5" s="24">
        <f>IF(A5="",0,SUMIFS(Units!$B$5:$B$54,Units!$C$5:$C$54,A5))</f>
        <v>2000</v>
      </c>
      <c r="X5" s="26">
        <f>IF(OR(T5=0,I5="Y"),"",IF(AND(G5&lt;&gt;"",'Rent roll'!$B$4&gt;=G5),H5,F5)*1)</f>
        <v>5000</v>
      </c>
      <c r="Y5" s="26">
        <f>IF(X5="","",X5*12)</f>
        <v>60000</v>
      </c>
      <c r="Z5" s="26">
        <f>IF(OR(X5="",W5&lt;=0),"",ROUND(X5*12/W5,2))</f>
        <v>30</v>
      </c>
      <c r="AA5" s="31">
        <f>IF(OR(T5=0,G5="",'Rent roll'!$B$4&gt;=G5,AND(D5&lt;&gt;"",G5&gt;D5)),"",G5)</f>
        <v>46296</v>
      </c>
      <c r="AB5" s="26">
        <f>IF(OR(AA5="",H5=""),"",H5)</f>
        <v>5150</v>
      </c>
      <c r="AC5" s="15">
        <f>IF(AND(T5=1,E5&lt;&gt;"",E5&gt;'Rent roll'!$B$4),1,0)</f>
        <v>0</v>
      </c>
      <c r="AD5" s="15">
        <f>IF(AND(T5=1,J5&lt;&gt;"",J5&gt;0,L5&lt;&gt;"",OR(K5="",K5&lt;='Rent roll'!$B$4),'Rent roll'!$B$4&lt;=L5),1,0)</f>
        <v>0</v>
      </c>
      <c r="AE5" s="26">
        <f>IF(X5="",0,IF(AC5=1,X5,IF(AD5=1,ROUND(X5*J5,2),0)))</f>
        <v>0</v>
      </c>
      <c r="AF5" s="26">
        <f>IF(T5=0,0,N5+IF(AND(O5&lt;&gt;"",O5&gt;0,OR(P5="",P5&gt;='Rent roll'!$B$4)),O5,0))</f>
        <v>10000</v>
      </c>
      <c r="AG5" s="15">
        <f>IF(AND(T5=1,O5&lt;&gt;"",O5&gt;0,P5&lt;&gt;"",P5&lt;'Rent roll'!$B$4),1,0)</f>
        <v>1</v>
      </c>
      <c r="AH5" s="26">
        <f>IF(T5=1,IF(Q5="",0,Q5),"")</f>
        <v>1250.5</v>
      </c>
      <c r="AI5" s="15">
        <f>IF(X5="",0,1)</f>
        <v>1</v>
      </c>
      <c r="AJ5" s="15">
        <f>IF(AND(T5=1,I5="Y"),1,0)</f>
        <v>0</v>
      </c>
      <c r="AK5" s="23">
        <f>IF(OR(T5=0,D5=""),"",D5-'Rent roll'!$B$4)</f>
        <v>869</v>
      </c>
      <c r="AL5" s="23">
        <f>IF(T5=0,"",IF(D5="","No end",YEAR(D5)))</f>
        <v>2028</v>
      </c>
      <c r="AM5" s="24">
        <f>IF(OR(AK5="",X5=""),0,AK5*Y5)</f>
        <v>52140000</v>
      </c>
      <c r="AN5" s="26">
        <f>IF(OR(AK5="",X5=""),0,Y5)</f>
        <v>60000</v>
      </c>
      <c r="AO5" s="24">
        <f>IF(AK5="",0,AK5*W5)</f>
        <v>1738000</v>
      </c>
      <c r="AP5" s="24">
        <f>IF(AK5="",0,W5)</f>
        <v>2000</v>
      </c>
      <c r="AQ5" s="15">
        <f>IF(T5=1,COUNTIF($T$5:T5,1),"")</f>
        <v>1</v>
      </c>
      <c r="AR5" s="36">
        <f>IF(X5="","",Y5+AQ5/1000000)</f>
        <v>60000.000001</v>
      </c>
      <c r="AS5" s="15">
        <f>IF(A5="",0,IF(COUNTIF($A$5:$A$34,A5)&gt;1,1,0))</f>
        <v>0</v>
      </c>
      <c r="AT5" s="15">
        <f>IF(A5="",0,IF(OR(NOT(ISNUMBER(C5)),AND(D5&lt;&gt;"",NOT(ISNUMBER(D5))),AND(E5&lt;&gt;"",NOT(ISNUMBER(E5))),AND(F5&lt;&gt;"",NOT(ISNUMBER(F5))),AND(G5&lt;&gt;"",NOT(ISNUMBER(G5))),AND(H5&lt;&gt;"",NOT(ISNUMBER(H5))),AND(J5&lt;&gt;"",NOT(ISNUMBER(J5))),AND(K5&lt;&gt;"",NOT(ISNUMBER(K5))),AND(L5&lt;&gt;"",NOT(ISNUMBER(L5))),AND(M5&lt;&gt;"",NOT(ISNUMBER(M5))),AND(N5&lt;&gt;"",NOT(ISNUMBER(N5))),AND(O5&lt;&gt;"",NOT(ISNUMBER(O5))),AND(P5&lt;&gt;"",NOT(ISNUMBER(P5))),AND(Q5&lt;&gt;"",NOT(ISNUMBER(Q5))),AND(I5&lt;&gt;"",I5&lt;&gt;"Y",I5&lt;&gt;"N"),AND(D5&lt;&gt;"",D5&lt;C5),AND(E5&lt;&gt;"",E5&lt;C5),AND(K5&lt;&gt;"",L5&lt;&gt;"",L5&lt;K5),AND(J5&lt;&gt;"",OR(J5&lt;0,J5&gt;1)),AND(J5&lt;&gt;"",J5&gt;0,L5=""),AND(G5&lt;&gt;"",H5=""),AND(I5&lt;&gt;"Y",F5="")),1,0))</f>
        <v>0</v>
      </c>
      <c r="AU5" s="15">
        <f>IF(AND(A5&lt;&gt;"",U5=0),1,0)</f>
        <v>0</v>
      </c>
    </row>
    <row r="6">
      <c r="A6" s="7" t="inlineStr">
        <is>
          <t>B</t>
        </is>
      </c>
      <c r="B6" s="7" t="inlineStr">
        <is>
          <t>Tenant B, LLC</t>
        </is>
      </c>
      <c r="C6" s="9" t="n">
        <v>45658</v>
      </c>
      <c r="D6" s="9" t="n">
        <v>46568</v>
      </c>
      <c r="E6" s="9" t="n"/>
      <c r="F6" s="34" t="n">
        <v>4250</v>
      </c>
      <c r="G6" s="9" t="n"/>
      <c r="H6" s="34" t="n"/>
      <c r="I6" s="7" t="inlineStr">
        <is>
          <t>N</t>
        </is>
      </c>
      <c r="J6" s="35" t="n">
        <v>1</v>
      </c>
      <c r="K6" s="9" t="n">
        <v>46204</v>
      </c>
      <c r="L6" s="9" t="n">
        <v>46387</v>
      </c>
      <c r="M6" s="34" t="n">
        <v>900</v>
      </c>
      <c r="N6" s="34" t="n"/>
      <c r="O6" s="34" t="n"/>
      <c r="P6" s="9" t="n"/>
      <c r="Q6" s="34" t="n">
        <v>-300</v>
      </c>
      <c r="R6" s="7" t="n"/>
      <c r="S6" s="15" t="str">
        <f>IF(A6="","",IF(C6="","Start date missing",IF(C6&gt;'Rent roll'!$B$4,"Not started",IF(AND(D6&lt;&gt;"",D6&lt;'Rent roll'!$B$4),"Ended","In force"))))</f>
        <v>In force</v>
      </c>
      <c r="T6" s="15">
        <f>IF(S6="In force",1,0)</f>
        <v>1</v>
      </c>
      <c r="U6" s="15">
        <f>IF(A6="",0,COUNTIF(Units!$C$5:$C$54,A6))</f>
        <v>1</v>
      </c>
      <c r="V6" s="15" t="str">
        <f>IF(U6=0,"",IFERROR(""&amp;INDEX(Units!$A$5:$A$54,MATCH(A6&amp;"|1",Units!$K$5:$K$54,0)),"")&amp;IF(U6&gt;=2,", "&amp;IFERROR(""&amp;INDEX(Units!$A$5:$A$54,MATCH(A6&amp;"|2",Units!$K$5:$K$54,0)),""),"")&amp;IF(U6&gt;=3,", "&amp;IFERROR(""&amp;INDEX(Units!$A$5:$A$54,MATCH(A6&amp;"|3",Units!$K$5:$K$54,0)),""),"")&amp;IF(U6&gt;3,", +"&amp;(U6-3)&amp;" more",""))</f>
        <v>103</v>
      </c>
      <c r="W6" s="24">
        <f>IF(A6="",0,SUMIFS(Units!$B$5:$B$54,Units!$C$5:$C$54,A6))</f>
        <v>2000</v>
      </c>
      <c r="X6" s="26">
        <f>IF(OR(T6=0,I6="Y"),"",IF(AND(G6&lt;&gt;"",'Rent roll'!$B$4&gt;=G6),H6,F6)*1)</f>
        <v>4250</v>
      </c>
      <c r="Y6" s="26">
        <f>IF(X6="","",X6*12)</f>
        <v>51000</v>
      </c>
      <c r="Z6" s="26">
        <f>IF(OR(X6="",W6&lt;=0),"",ROUND(X6*12/W6,2))</f>
        <v>25.5</v>
      </c>
      <c r="AA6" s="31" t="str">
        <f>IF(OR(T6=0,G6="",'Rent roll'!$B$4&gt;=G6,AND(D6&lt;&gt;"",G6&gt;D6)),"",G6)</f>
        <v/>
      </c>
      <c r="AB6" s="26" t="str">
        <f>IF(OR(AA6="",H6=""),"",H6)</f>
        <v/>
      </c>
      <c r="AC6" s="15">
        <f>IF(AND(T6=1,E6&lt;&gt;"",E6&gt;'Rent roll'!$B$4),1,0)</f>
        <v>0</v>
      </c>
      <c r="AD6" s="15">
        <f>IF(AND(T6=1,J6&lt;&gt;"",J6&gt;0,L6&lt;&gt;"",OR(K6="",K6&lt;='Rent roll'!$B$4),'Rent roll'!$B$4&lt;=L6),1,0)</f>
        <v>1</v>
      </c>
      <c r="AE6" s="26">
        <f>IF(X6="",0,IF(AC6=1,X6,IF(AD6=1,ROUND(X6*J6,2),0)))</f>
        <v>4250</v>
      </c>
      <c r="AF6" s="26">
        <f>IF(T6=0,0,N6+IF(AND(O6&lt;&gt;"",O6&gt;0,OR(P6="",P6&gt;='Rent roll'!$B$4)),O6,0))</f>
        <v>0</v>
      </c>
      <c r="AG6" s="15">
        <f>IF(AND(T6=1,O6&lt;&gt;"",O6&gt;0,P6&lt;&gt;"",P6&lt;'Rent roll'!$B$4),1,0)</f>
        <v>0</v>
      </c>
      <c r="AH6" s="26">
        <f>IF(T6=1,IF(Q6="",0,Q6),"")</f>
        <v>-300</v>
      </c>
      <c r="AI6" s="15">
        <f>IF(X6="",0,1)</f>
        <v>1</v>
      </c>
      <c r="AJ6" s="15">
        <f>IF(AND(T6=1,I6="Y"),1,0)</f>
        <v>0</v>
      </c>
      <c r="AK6" s="23">
        <f>IF(OR(T6=0,D6=""),"",D6-'Rent roll'!$B$4)</f>
        <v>319</v>
      </c>
      <c r="AL6" s="23">
        <f>IF(T6=0,"",IF(D6="","No end",YEAR(D6)))</f>
        <v>2027</v>
      </c>
      <c r="AM6" s="24">
        <f>IF(OR(AK6="",X6=""),0,AK6*Y6)</f>
        <v>16269000</v>
      </c>
      <c r="AN6" s="26">
        <f>IF(OR(AK6="",X6=""),0,Y6)</f>
        <v>51000</v>
      </c>
      <c r="AO6" s="24">
        <f>IF(AK6="",0,AK6*W6)</f>
        <v>638000</v>
      </c>
      <c r="AP6" s="24">
        <f>IF(AK6="",0,W6)</f>
        <v>2000</v>
      </c>
      <c r="AQ6" s="15">
        <f>IF(T6=1,COUNTIF($T$5:T6,1),"")</f>
        <v>2</v>
      </c>
      <c r="AR6" s="36">
        <f>IF(X6="","",Y6+AQ6/1000000)</f>
        <v>51000.000002</v>
      </c>
      <c r="AS6" s="15">
        <f>IF(A6="",0,IF(COUNTIF($A$5:$A$34,A6)&gt;1,1,0))</f>
        <v>0</v>
      </c>
      <c r="AT6" s="15">
        <f>IF(A6="",0,IF(OR(NOT(ISNUMBER(C6)),AND(D6&lt;&gt;"",NOT(ISNUMBER(D6))),AND(E6&lt;&gt;"",NOT(ISNUMBER(E6))),AND(F6&lt;&gt;"",NOT(ISNUMBER(F6))),AND(G6&lt;&gt;"",NOT(ISNUMBER(G6))),AND(H6&lt;&gt;"",NOT(ISNUMBER(H6))),AND(J6&lt;&gt;"",NOT(ISNUMBER(J6))),AND(K6&lt;&gt;"",NOT(ISNUMBER(K6))),AND(L6&lt;&gt;"",NOT(ISNUMBER(L6))),AND(M6&lt;&gt;"",NOT(ISNUMBER(M6))),AND(N6&lt;&gt;"",NOT(ISNUMBER(N6))),AND(O6&lt;&gt;"",NOT(ISNUMBER(O6))),AND(P6&lt;&gt;"",NOT(ISNUMBER(P6))),AND(Q6&lt;&gt;"",NOT(ISNUMBER(Q6))),AND(I6&lt;&gt;"",I6&lt;&gt;"Y",I6&lt;&gt;"N"),AND(D6&lt;&gt;"",D6&lt;C6),AND(E6&lt;&gt;"",E6&lt;C6),AND(K6&lt;&gt;"",L6&lt;&gt;"",L6&lt;K6),AND(J6&lt;&gt;"",OR(J6&lt;0,J6&gt;1)),AND(J6&lt;&gt;"",J6&gt;0,L6=""),AND(G6&lt;&gt;"",H6=""),AND(I6&lt;&gt;"Y",F6="")),1,0))</f>
        <v>0</v>
      </c>
      <c r="AU6" s="15">
        <f>IF(AND(A6&lt;&gt;"",U6=0),1,0)</f>
        <v>0</v>
      </c>
    </row>
    <row r="7">
      <c r="A7" s="7" t="n"/>
      <c r="B7" s="7" t="n"/>
      <c r="C7" s="9" t="n"/>
      <c r="D7" s="9" t="n"/>
      <c r="E7" s="9" t="n"/>
      <c r="F7" s="34" t="n"/>
      <c r="G7" s="9" t="n"/>
      <c r="H7" s="34" t="n"/>
      <c r="I7" s="7" t="n"/>
      <c r="J7" s="35" t="n"/>
      <c r="K7" s="9" t="n"/>
      <c r="L7" s="9" t="n"/>
      <c r="M7" s="34" t="n"/>
      <c r="N7" s="34" t="n"/>
      <c r="O7" s="34" t="n"/>
      <c r="P7" s="9" t="n"/>
      <c r="Q7" s="34" t="n"/>
      <c r="R7" s="7" t="n"/>
      <c r="S7" s="15" t="str">
        <f>IF(A7="","",IF(C7="","Start date missing",IF(C7&gt;'Rent roll'!$B$4,"Not started",IF(AND(D7&lt;&gt;"",D7&lt;'Rent roll'!$B$4),"Ended","In force"))))</f>
        <v/>
      </c>
      <c r="T7" s="15">
        <f>IF(S7="In force",1,0)</f>
        <v>0</v>
      </c>
      <c r="U7" s="15">
        <f>IF(A7="",0,COUNTIF(Units!$C$5:$C$54,A7))</f>
        <v>0</v>
      </c>
      <c r="V7" s="15" t="str">
        <f>IF(U7=0,"",IFERROR(""&amp;INDEX(Units!$A$5:$A$54,MATCH(A7&amp;"|1",Units!$K$5:$K$54,0)),"")&amp;IF(U7&gt;=2,", "&amp;IFERROR(""&amp;INDEX(Units!$A$5:$A$54,MATCH(A7&amp;"|2",Units!$K$5:$K$54,0)),""),"")&amp;IF(U7&gt;=3,", "&amp;IFERROR(""&amp;INDEX(Units!$A$5:$A$54,MATCH(A7&amp;"|3",Units!$K$5:$K$54,0)),""),"")&amp;IF(U7&gt;3,", +"&amp;(U7-3)&amp;" more",""))</f>
        <v/>
      </c>
      <c r="W7" s="24">
        <f>IF(A7="",0,SUMIFS(Units!$B$5:$B$54,Units!$C$5:$C$54,A7))</f>
        <v>0</v>
      </c>
      <c r="X7" s="26" t="str">
        <f>IF(OR(T7=0,I7="Y"),"",IF(AND(G7&lt;&gt;"",'Rent roll'!$B$4&gt;=G7),H7,F7)*1)</f>
        <v/>
      </c>
      <c r="Y7" s="26" t="str">
        <f>IF(X7="","",X7*12)</f>
        <v/>
      </c>
      <c r="Z7" s="26" t="str">
        <f>IF(OR(X7="",W7&lt;=0),"",ROUND(X7*12/W7,2))</f>
        <v/>
      </c>
      <c r="AA7" s="31" t="str">
        <f>IF(OR(T7=0,G7="",'Rent roll'!$B$4&gt;=G7,AND(D7&lt;&gt;"",G7&gt;D7)),"",G7)</f>
        <v/>
      </c>
      <c r="AB7" s="26" t="str">
        <f>IF(OR(AA7="",H7=""),"",H7)</f>
        <v/>
      </c>
      <c r="AC7" s="15">
        <f>IF(AND(T7=1,E7&lt;&gt;"",E7&gt;'Rent roll'!$B$4),1,0)</f>
        <v>0</v>
      </c>
      <c r="AD7" s="15">
        <f>IF(AND(T7=1,J7&lt;&gt;"",J7&gt;0,L7&lt;&gt;"",OR(K7="",K7&lt;='Rent roll'!$B$4),'Rent roll'!$B$4&lt;=L7),1,0)</f>
        <v>0</v>
      </c>
      <c r="AE7" s="26">
        <f>IF(X7="",0,IF(AC7=1,X7,IF(AD7=1,ROUND(X7*J7,2),0)))</f>
        <v>0</v>
      </c>
      <c r="AF7" s="26">
        <f>IF(T7=0,0,N7+IF(AND(O7&lt;&gt;"",O7&gt;0,OR(P7="",P7&gt;='Rent roll'!$B$4)),O7,0))</f>
        <v>0</v>
      </c>
      <c r="AG7" s="15">
        <f>IF(AND(T7=1,O7&lt;&gt;"",O7&gt;0,P7&lt;&gt;"",P7&lt;'Rent roll'!$B$4),1,0)</f>
        <v>0</v>
      </c>
      <c r="AH7" s="26" t="str">
        <f>IF(T7=1,IF(Q7="",0,Q7),"")</f>
        <v/>
      </c>
      <c r="AI7" s="15">
        <f>IF(X7="",0,1)</f>
        <v>0</v>
      </c>
      <c r="AJ7" s="15">
        <f>IF(AND(T7=1,I7="Y"),1,0)</f>
        <v>0</v>
      </c>
      <c r="AK7" s="23" t="str">
        <f>IF(OR(T7=0,D7=""),"",D7-'Rent roll'!$B$4)</f>
        <v/>
      </c>
      <c r="AL7" s="23" t="str">
        <f>IF(T7=0,"",IF(D7="","No end",YEAR(D7)))</f>
        <v/>
      </c>
      <c r="AM7" s="24">
        <f>IF(OR(AK7="",X7=""),0,AK7*Y7)</f>
        <v>0</v>
      </c>
      <c r="AN7" s="26">
        <f>IF(OR(AK7="",X7=""),0,Y7)</f>
        <v>0</v>
      </c>
      <c r="AO7" s="24">
        <f>IF(AK7="",0,AK7*W7)</f>
        <v>0</v>
      </c>
      <c r="AP7" s="24">
        <f>IF(AK7="",0,W7)</f>
        <v>0</v>
      </c>
      <c r="AQ7" s="15" t="str">
        <f>IF(T7=1,COUNTIF($T$5:T7,1),"")</f>
        <v/>
      </c>
      <c r="AR7" s="36" t="str">
        <f>IF(X7="","",Y7+AQ7/1000000)</f>
        <v/>
      </c>
      <c r="AS7" s="15">
        <f>IF(A7="",0,IF(COUNTIF($A$5:$A$34,A7)&gt;1,1,0))</f>
        <v>0</v>
      </c>
      <c r="AT7" s="15">
        <f>IF(A7="",0,IF(OR(NOT(ISNUMBER(C7)),AND(D7&lt;&gt;"",NOT(ISNUMBER(D7))),AND(E7&lt;&gt;"",NOT(ISNUMBER(E7))),AND(F7&lt;&gt;"",NOT(ISNUMBER(F7))),AND(G7&lt;&gt;"",NOT(ISNUMBER(G7))),AND(H7&lt;&gt;"",NOT(ISNUMBER(H7))),AND(J7&lt;&gt;"",NOT(ISNUMBER(J7))),AND(K7&lt;&gt;"",NOT(ISNUMBER(K7))),AND(L7&lt;&gt;"",NOT(ISNUMBER(L7))),AND(M7&lt;&gt;"",NOT(ISNUMBER(M7))),AND(N7&lt;&gt;"",NOT(ISNUMBER(N7))),AND(O7&lt;&gt;"",NOT(ISNUMBER(O7))),AND(P7&lt;&gt;"",NOT(ISNUMBER(P7))),AND(Q7&lt;&gt;"",NOT(ISNUMBER(Q7))),AND(I7&lt;&gt;"",I7&lt;&gt;"Y",I7&lt;&gt;"N"),AND(D7&lt;&gt;"",D7&lt;C7),AND(E7&lt;&gt;"",E7&lt;C7),AND(K7&lt;&gt;"",L7&lt;&gt;"",L7&lt;K7),AND(J7&lt;&gt;"",OR(J7&lt;0,J7&gt;1)),AND(J7&lt;&gt;"",J7&gt;0,L7=""),AND(G7&lt;&gt;"",H7=""),AND(I7&lt;&gt;"Y",F7="")),1,0))</f>
        <v>0</v>
      </c>
      <c r="AU7" s="15">
        <f>IF(AND(A7&lt;&gt;"",U7=0),1,0)</f>
        <v>0</v>
      </c>
    </row>
    <row r="8">
      <c r="A8" s="7" t="n"/>
      <c r="B8" s="7" t="n"/>
      <c r="C8" s="9" t="n"/>
      <c r="D8" s="9" t="n"/>
      <c r="E8" s="9" t="n"/>
      <c r="F8" s="34" t="n"/>
      <c r="G8" s="9" t="n"/>
      <c r="H8" s="34" t="n"/>
      <c r="I8" s="7" t="n"/>
      <c r="J8" s="35" t="n"/>
      <c r="K8" s="9" t="n"/>
      <c r="L8" s="9" t="n"/>
      <c r="M8" s="34" t="n"/>
      <c r="N8" s="34" t="n"/>
      <c r="O8" s="34" t="n"/>
      <c r="P8" s="9" t="n"/>
      <c r="Q8" s="34" t="n"/>
      <c r="R8" s="7" t="n"/>
      <c r="S8" s="15" t="str">
        <f>IF(A8="","",IF(C8="","Start date missing",IF(C8&gt;'Rent roll'!$B$4,"Not started",IF(AND(D8&lt;&gt;"",D8&lt;'Rent roll'!$B$4),"Ended","In force"))))</f>
        <v/>
      </c>
      <c r="T8" s="15">
        <f>IF(S8="In force",1,0)</f>
        <v>0</v>
      </c>
      <c r="U8" s="15">
        <f>IF(A8="",0,COUNTIF(Units!$C$5:$C$54,A8))</f>
        <v>0</v>
      </c>
      <c r="V8" s="15" t="str">
        <f>IF(U8=0,"",IFERROR(""&amp;INDEX(Units!$A$5:$A$54,MATCH(A8&amp;"|1",Units!$K$5:$K$54,0)),"")&amp;IF(U8&gt;=2,", "&amp;IFERROR(""&amp;INDEX(Units!$A$5:$A$54,MATCH(A8&amp;"|2",Units!$K$5:$K$54,0)),""),"")&amp;IF(U8&gt;=3,", "&amp;IFERROR(""&amp;INDEX(Units!$A$5:$A$54,MATCH(A8&amp;"|3",Units!$K$5:$K$54,0)),""),"")&amp;IF(U8&gt;3,", +"&amp;(U8-3)&amp;" more",""))</f>
        <v/>
      </c>
      <c r="W8" s="24">
        <f>IF(A8="",0,SUMIFS(Units!$B$5:$B$54,Units!$C$5:$C$54,A8))</f>
        <v>0</v>
      </c>
      <c r="X8" s="26" t="str">
        <f>IF(OR(T8=0,I8="Y"),"",IF(AND(G8&lt;&gt;"",'Rent roll'!$B$4&gt;=G8),H8,F8)*1)</f>
        <v/>
      </c>
      <c r="Y8" s="26" t="str">
        <f>IF(X8="","",X8*12)</f>
        <v/>
      </c>
      <c r="Z8" s="26" t="str">
        <f>IF(OR(X8="",W8&lt;=0),"",ROUND(X8*12/W8,2))</f>
        <v/>
      </c>
      <c r="AA8" s="31" t="str">
        <f>IF(OR(T8=0,G8="",'Rent roll'!$B$4&gt;=G8,AND(D8&lt;&gt;"",G8&gt;D8)),"",G8)</f>
        <v/>
      </c>
      <c r="AB8" s="26" t="str">
        <f>IF(OR(AA8="",H8=""),"",H8)</f>
        <v/>
      </c>
      <c r="AC8" s="15">
        <f>IF(AND(T8=1,E8&lt;&gt;"",E8&gt;'Rent roll'!$B$4),1,0)</f>
        <v>0</v>
      </c>
      <c r="AD8" s="15">
        <f>IF(AND(T8=1,J8&lt;&gt;"",J8&gt;0,L8&lt;&gt;"",OR(K8="",K8&lt;='Rent roll'!$B$4),'Rent roll'!$B$4&lt;=L8),1,0)</f>
        <v>0</v>
      </c>
      <c r="AE8" s="26">
        <f>IF(X8="",0,IF(AC8=1,X8,IF(AD8=1,ROUND(X8*J8,2),0)))</f>
        <v>0</v>
      </c>
      <c r="AF8" s="26">
        <f>IF(T8=0,0,N8+IF(AND(O8&lt;&gt;"",O8&gt;0,OR(P8="",P8&gt;='Rent roll'!$B$4)),O8,0))</f>
        <v>0</v>
      </c>
      <c r="AG8" s="15">
        <f>IF(AND(T8=1,O8&lt;&gt;"",O8&gt;0,P8&lt;&gt;"",P8&lt;'Rent roll'!$B$4),1,0)</f>
        <v>0</v>
      </c>
      <c r="AH8" s="26" t="str">
        <f>IF(T8=1,IF(Q8="",0,Q8),"")</f>
        <v/>
      </c>
      <c r="AI8" s="15">
        <f>IF(X8="",0,1)</f>
        <v>0</v>
      </c>
      <c r="AJ8" s="15">
        <f>IF(AND(T8=1,I8="Y"),1,0)</f>
        <v>0</v>
      </c>
      <c r="AK8" s="23" t="str">
        <f>IF(OR(T8=0,D8=""),"",D8-'Rent roll'!$B$4)</f>
        <v/>
      </c>
      <c r="AL8" s="23" t="str">
        <f>IF(T8=0,"",IF(D8="","No end",YEAR(D8)))</f>
        <v/>
      </c>
      <c r="AM8" s="24">
        <f>IF(OR(AK8="",X8=""),0,AK8*Y8)</f>
        <v>0</v>
      </c>
      <c r="AN8" s="26">
        <f>IF(OR(AK8="",X8=""),0,Y8)</f>
        <v>0</v>
      </c>
      <c r="AO8" s="24">
        <f>IF(AK8="",0,AK8*W8)</f>
        <v>0</v>
      </c>
      <c r="AP8" s="24">
        <f>IF(AK8="",0,W8)</f>
        <v>0</v>
      </c>
      <c r="AQ8" s="15" t="str">
        <f>IF(T8=1,COUNTIF($T$5:T8,1),"")</f>
        <v/>
      </c>
      <c r="AR8" s="36" t="str">
        <f>IF(X8="","",Y8+AQ8/1000000)</f>
        <v/>
      </c>
      <c r="AS8" s="15">
        <f>IF(A8="",0,IF(COUNTIF($A$5:$A$34,A8)&gt;1,1,0))</f>
        <v>0</v>
      </c>
      <c r="AT8" s="15">
        <f>IF(A8="",0,IF(OR(NOT(ISNUMBER(C8)),AND(D8&lt;&gt;"",NOT(ISNUMBER(D8))),AND(E8&lt;&gt;"",NOT(ISNUMBER(E8))),AND(F8&lt;&gt;"",NOT(ISNUMBER(F8))),AND(G8&lt;&gt;"",NOT(ISNUMBER(G8))),AND(H8&lt;&gt;"",NOT(ISNUMBER(H8))),AND(J8&lt;&gt;"",NOT(ISNUMBER(J8))),AND(K8&lt;&gt;"",NOT(ISNUMBER(K8))),AND(L8&lt;&gt;"",NOT(ISNUMBER(L8))),AND(M8&lt;&gt;"",NOT(ISNUMBER(M8))),AND(N8&lt;&gt;"",NOT(ISNUMBER(N8))),AND(O8&lt;&gt;"",NOT(ISNUMBER(O8))),AND(P8&lt;&gt;"",NOT(ISNUMBER(P8))),AND(Q8&lt;&gt;"",NOT(ISNUMBER(Q8))),AND(I8&lt;&gt;"",I8&lt;&gt;"Y",I8&lt;&gt;"N"),AND(D8&lt;&gt;"",D8&lt;C8),AND(E8&lt;&gt;"",E8&lt;C8),AND(K8&lt;&gt;"",L8&lt;&gt;"",L8&lt;K8),AND(J8&lt;&gt;"",OR(J8&lt;0,J8&gt;1)),AND(J8&lt;&gt;"",J8&gt;0,L8=""),AND(G8&lt;&gt;"",H8=""),AND(I8&lt;&gt;"Y",F8="")),1,0))</f>
        <v>0</v>
      </c>
      <c r="AU8" s="15">
        <f>IF(AND(A8&lt;&gt;"",U8=0),1,0)</f>
        <v>0</v>
      </c>
    </row>
    <row r="9">
      <c r="A9" s="7" t="n"/>
      <c r="B9" s="7" t="n"/>
      <c r="C9" s="9" t="n"/>
      <c r="D9" s="9" t="n"/>
      <c r="E9" s="9" t="n"/>
      <c r="F9" s="34" t="n"/>
      <c r="G9" s="9" t="n"/>
      <c r="H9" s="34" t="n"/>
      <c r="I9" s="7" t="n"/>
      <c r="J9" s="35" t="n"/>
      <c r="K9" s="9" t="n"/>
      <c r="L9" s="9" t="n"/>
      <c r="M9" s="34" t="n"/>
      <c r="N9" s="34" t="n"/>
      <c r="O9" s="34" t="n"/>
      <c r="P9" s="9" t="n"/>
      <c r="Q9" s="34" t="n"/>
      <c r="R9" s="7" t="n"/>
      <c r="S9" s="15" t="str">
        <f>IF(A9="","",IF(C9="","Start date missing",IF(C9&gt;'Rent roll'!$B$4,"Not started",IF(AND(D9&lt;&gt;"",D9&lt;'Rent roll'!$B$4),"Ended","In force"))))</f>
        <v/>
      </c>
      <c r="T9" s="15">
        <f>IF(S9="In force",1,0)</f>
        <v>0</v>
      </c>
      <c r="U9" s="15">
        <f>IF(A9="",0,COUNTIF(Units!$C$5:$C$54,A9))</f>
        <v>0</v>
      </c>
      <c r="V9" s="15" t="str">
        <f>IF(U9=0,"",IFERROR(""&amp;INDEX(Units!$A$5:$A$54,MATCH(A9&amp;"|1",Units!$K$5:$K$54,0)),"")&amp;IF(U9&gt;=2,", "&amp;IFERROR(""&amp;INDEX(Units!$A$5:$A$54,MATCH(A9&amp;"|2",Units!$K$5:$K$54,0)),""),"")&amp;IF(U9&gt;=3,", "&amp;IFERROR(""&amp;INDEX(Units!$A$5:$A$54,MATCH(A9&amp;"|3",Units!$K$5:$K$54,0)),""),"")&amp;IF(U9&gt;3,", +"&amp;(U9-3)&amp;" more",""))</f>
        <v/>
      </c>
      <c r="W9" s="24">
        <f>IF(A9="",0,SUMIFS(Units!$B$5:$B$54,Units!$C$5:$C$54,A9))</f>
        <v>0</v>
      </c>
      <c r="X9" s="26" t="str">
        <f>IF(OR(T9=0,I9="Y"),"",IF(AND(G9&lt;&gt;"",'Rent roll'!$B$4&gt;=G9),H9,F9)*1)</f>
        <v/>
      </c>
      <c r="Y9" s="26" t="str">
        <f>IF(X9="","",X9*12)</f>
        <v/>
      </c>
      <c r="Z9" s="26" t="str">
        <f>IF(OR(X9="",W9&lt;=0),"",ROUND(X9*12/W9,2))</f>
        <v/>
      </c>
      <c r="AA9" s="31" t="str">
        <f>IF(OR(T9=0,G9="",'Rent roll'!$B$4&gt;=G9,AND(D9&lt;&gt;"",G9&gt;D9)),"",G9)</f>
        <v/>
      </c>
      <c r="AB9" s="26" t="str">
        <f>IF(OR(AA9="",H9=""),"",H9)</f>
        <v/>
      </c>
      <c r="AC9" s="15">
        <f>IF(AND(T9=1,E9&lt;&gt;"",E9&gt;'Rent roll'!$B$4),1,0)</f>
        <v>0</v>
      </c>
      <c r="AD9" s="15">
        <f>IF(AND(T9=1,J9&lt;&gt;"",J9&gt;0,L9&lt;&gt;"",OR(K9="",K9&lt;='Rent roll'!$B$4),'Rent roll'!$B$4&lt;=L9),1,0)</f>
        <v>0</v>
      </c>
      <c r="AE9" s="26">
        <f>IF(X9="",0,IF(AC9=1,X9,IF(AD9=1,ROUND(X9*J9,2),0)))</f>
        <v>0</v>
      </c>
      <c r="AF9" s="26">
        <f>IF(T9=0,0,N9+IF(AND(O9&lt;&gt;"",O9&gt;0,OR(P9="",P9&gt;='Rent roll'!$B$4)),O9,0))</f>
        <v>0</v>
      </c>
      <c r="AG9" s="15">
        <f>IF(AND(T9=1,O9&lt;&gt;"",O9&gt;0,P9&lt;&gt;"",P9&lt;'Rent roll'!$B$4),1,0)</f>
        <v>0</v>
      </c>
      <c r="AH9" s="26" t="str">
        <f>IF(T9=1,IF(Q9="",0,Q9),"")</f>
        <v/>
      </c>
      <c r="AI9" s="15">
        <f>IF(X9="",0,1)</f>
        <v>0</v>
      </c>
      <c r="AJ9" s="15">
        <f>IF(AND(T9=1,I9="Y"),1,0)</f>
        <v>0</v>
      </c>
      <c r="AK9" s="23" t="str">
        <f>IF(OR(T9=0,D9=""),"",D9-'Rent roll'!$B$4)</f>
        <v/>
      </c>
      <c r="AL9" s="23" t="str">
        <f>IF(T9=0,"",IF(D9="","No end",YEAR(D9)))</f>
        <v/>
      </c>
      <c r="AM9" s="24">
        <f>IF(OR(AK9="",X9=""),0,AK9*Y9)</f>
        <v>0</v>
      </c>
      <c r="AN9" s="26">
        <f>IF(OR(AK9="",X9=""),0,Y9)</f>
        <v>0</v>
      </c>
      <c r="AO9" s="24">
        <f>IF(AK9="",0,AK9*W9)</f>
        <v>0</v>
      </c>
      <c r="AP9" s="24">
        <f>IF(AK9="",0,W9)</f>
        <v>0</v>
      </c>
      <c r="AQ9" s="15" t="str">
        <f>IF(T9=1,COUNTIF($T$5:T9,1),"")</f>
        <v/>
      </c>
      <c r="AR9" s="36" t="str">
        <f>IF(X9="","",Y9+AQ9/1000000)</f>
        <v/>
      </c>
      <c r="AS9" s="15">
        <f>IF(A9="",0,IF(COUNTIF($A$5:$A$34,A9)&gt;1,1,0))</f>
        <v>0</v>
      </c>
      <c r="AT9" s="15">
        <f>IF(A9="",0,IF(OR(NOT(ISNUMBER(C9)),AND(D9&lt;&gt;"",NOT(ISNUMBER(D9))),AND(E9&lt;&gt;"",NOT(ISNUMBER(E9))),AND(F9&lt;&gt;"",NOT(ISNUMBER(F9))),AND(G9&lt;&gt;"",NOT(ISNUMBER(G9))),AND(H9&lt;&gt;"",NOT(ISNUMBER(H9))),AND(J9&lt;&gt;"",NOT(ISNUMBER(J9))),AND(K9&lt;&gt;"",NOT(ISNUMBER(K9))),AND(L9&lt;&gt;"",NOT(ISNUMBER(L9))),AND(M9&lt;&gt;"",NOT(ISNUMBER(M9))),AND(N9&lt;&gt;"",NOT(ISNUMBER(N9))),AND(O9&lt;&gt;"",NOT(ISNUMBER(O9))),AND(P9&lt;&gt;"",NOT(ISNUMBER(P9))),AND(Q9&lt;&gt;"",NOT(ISNUMBER(Q9))),AND(I9&lt;&gt;"",I9&lt;&gt;"Y",I9&lt;&gt;"N"),AND(D9&lt;&gt;"",D9&lt;C9),AND(E9&lt;&gt;"",E9&lt;C9),AND(K9&lt;&gt;"",L9&lt;&gt;"",L9&lt;K9),AND(J9&lt;&gt;"",OR(J9&lt;0,J9&gt;1)),AND(J9&lt;&gt;"",J9&gt;0,L9=""),AND(G9&lt;&gt;"",H9=""),AND(I9&lt;&gt;"Y",F9="")),1,0))</f>
        <v>0</v>
      </c>
      <c r="AU9" s="15">
        <f>IF(AND(A9&lt;&gt;"",U9=0),1,0)</f>
        <v>0</v>
      </c>
    </row>
    <row r="10">
      <c r="A10" s="7" t="n"/>
      <c r="B10" s="7" t="n"/>
      <c r="C10" s="9" t="n"/>
      <c r="D10" s="9" t="n"/>
      <c r="E10" s="9" t="n"/>
      <c r="F10" s="34" t="n"/>
      <c r="G10" s="9" t="n"/>
      <c r="H10" s="34" t="n"/>
      <c r="I10" s="7" t="n"/>
      <c r="J10" s="35" t="n"/>
      <c r="K10" s="9" t="n"/>
      <c r="L10" s="9" t="n"/>
      <c r="M10" s="34" t="n"/>
      <c r="N10" s="34" t="n"/>
      <c r="O10" s="34" t="n"/>
      <c r="P10" s="9" t="n"/>
      <c r="Q10" s="34" t="n"/>
      <c r="R10" s="7" t="n"/>
      <c r="S10" s="15" t="str">
        <f>IF(A10="","",IF(C10="","Start date missing",IF(C10&gt;'Rent roll'!$B$4,"Not started",IF(AND(D10&lt;&gt;"",D10&lt;'Rent roll'!$B$4),"Ended","In force"))))</f>
        <v/>
      </c>
      <c r="T10" s="15">
        <f>IF(S10="In force",1,0)</f>
        <v>0</v>
      </c>
      <c r="U10" s="15">
        <f>IF(A10="",0,COUNTIF(Units!$C$5:$C$54,A10))</f>
        <v>0</v>
      </c>
      <c r="V10" s="15" t="str">
        <f>IF(U10=0,"",IFERROR(""&amp;INDEX(Units!$A$5:$A$54,MATCH(A10&amp;"|1",Units!$K$5:$K$54,0)),"")&amp;IF(U10&gt;=2,", "&amp;IFERROR(""&amp;INDEX(Units!$A$5:$A$54,MATCH(A10&amp;"|2",Units!$K$5:$K$54,0)),""),"")&amp;IF(U10&gt;=3,", "&amp;IFERROR(""&amp;INDEX(Units!$A$5:$A$54,MATCH(A10&amp;"|3",Units!$K$5:$K$54,0)),""),"")&amp;IF(U10&gt;3,", +"&amp;(U10-3)&amp;" more",""))</f>
        <v/>
      </c>
      <c r="W10" s="24">
        <f>IF(A10="",0,SUMIFS(Units!$B$5:$B$54,Units!$C$5:$C$54,A10))</f>
        <v>0</v>
      </c>
      <c r="X10" s="26" t="str">
        <f>IF(OR(T10=0,I10="Y"),"",IF(AND(G10&lt;&gt;"",'Rent roll'!$B$4&gt;=G10),H10,F10)*1)</f>
        <v/>
      </c>
      <c r="Y10" s="26" t="str">
        <f>IF(X10="","",X10*12)</f>
        <v/>
      </c>
      <c r="Z10" s="26" t="str">
        <f>IF(OR(X10="",W10&lt;=0),"",ROUND(X10*12/W10,2))</f>
        <v/>
      </c>
      <c r="AA10" s="31" t="str">
        <f>IF(OR(T10=0,G10="",'Rent roll'!$B$4&gt;=G10,AND(D10&lt;&gt;"",G10&gt;D10)),"",G10)</f>
        <v/>
      </c>
      <c r="AB10" s="26" t="str">
        <f>IF(OR(AA10="",H10=""),"",H10)</f>
        <v/>
      </c>
      <c r="AC10" s="15">
        <f>IF(AND(T10=1,E10&lt;&gt;"",E10&gt;'Rent roll'!$B$4),1,0)</f>
        <v>0</v>
      </c>
      <c r="AD10" s="15">
        <f>IF(AND(T10=1,J10&lt;&gt;"",J10&gt;0,L10&lt;&gt;"",OR(K10="",K10&lt;='Rent roll'!$B$4),'Rent roll'!$B$4&lt;=L10),1,0)</f>
        <v>0</v>
      </c>
      <c r="AE10" s="26">
        <f>IF(X10="",0,IF(AC10=1,X10,IF(AD10=1,ROUND(X10*J10,2),0)))</f>
        <v>0</v>
      </c>
      <c r="AF10" s="26">
        <f>IF(T10=0,0,N10+IF(AND(O10&lt;&gt;"",O10&gt;0,OR(P10="",P10&gt;='Rent roll'!$B$4)),O10,0))</f>
        <v>0</v>
      </c>
      <c r="AG10" s="15">
        <f>IF(AND(T10=1,O10&lt;&gt;"",O10&gt;0,P10&lt;&gt;"",P10&lt;'Rent roll'!$B$4),1,0)</f>
        <v>0</v>
      </c>
      <c r="AH10" s="26" t="str">
        <f>IF(T10=1,IF(Q10="",0,Q10),"")</f>
        <v/>
      </c>
      <c r="AI10" s="15">
        <f>IF(X10="",0,1)</f>
        <v>0</v>
      </c>
      <c r="AJ10" s="15">
        <f>IF(AND(T10=1,I10="Y"),1,0)</f>
        <v>0</v>
      </c>
      <c r="AK10" s="23" t="str">
        <f>IF(OR(T10=0,D10=""),"",D10-'Rent roll'!$B$4)</f>
        <v/>
      </c>
      <c r="AL10" s="23" t="str">
        <f>IF(T10=0,"",IF(D10="","No end",YEAR(D10)))</f>
        <v/>
      </c>
      <c r="AM10" s="24">
        <f>IF(OR(AK10="",X10=""),0,AK10*Y10)</f>
        <v>0</v>
      </c>
      <c r="AN10" s="26">
        <f>IF(OR(AK10="",X10=""),0,Y10)</f>
        <v>0</v>
      </c>
      <c r="AO10" s="24">
        <f>IF(AK10="",0,AK10*W10)</f>
        <v>0</v>
      </c>
      <c r="AP10" s="24">
        <f>IF(AK10="",0,W10)</f>
        <v>0</v>
      </c>
      <c r="AQ10" s="15" t="str">
        <f>IF(T10=1,COUNTIF($T$5:T10,1),"")</f>
        <v/>
      </c>
      <c r="AR10" s="36" t="str">
        <f>IF(X10="","",Y10+AQ10/1000000)</f>
        <v/>
      </c>
      <c r="AS10" s="15">
        <f>IF(A10="",0,IF(COUNTIF($A$5:$A$34,A10)&gt;1,1,0))</f>
        <v>0</v>
      </c>
      <c r="AT10" s="15">
        <f>IF(A10="",0,IF(OR(NOT(ISNUMBER(C10)),AND(D10&lt;&gt;"",NOT(ISNUMBER(D10))),AND(E10&lt;&gt;"",NOT(ISNUMBER(E10))),AND(F10&lt;&gt;"",NOT(ISNUMBER(F10))),AND(G10&lt;&gt;"",NOT(ISNUMBER(G10))),AND(H10&lt;&gt;"",NOT(ISNUMBER(H10))),AND(J10&lt;&gt;"",NOT(ISNUMBER(J10))),AND(K10&lt;&gt;"",NOT(ISNUMBER(K10))),AND(L10&lt;&gt;"",NOT(ISNUMBER(L10))),AND(M10&lt;&gt;"",NOT(ISNUMBER(M10))),AND(N10&lt;&gt;"",NOT(ISNUMBER(N10))),AND(O10&lt;&gt;"",NOT(ISNUMBER(O10))),AND(P10&lt;&gt;"",NOT(ISNUMBER(P10))),AND(Q10&lt;&gt;"",NOT(ISNUMBER(Q10))),AND(I10&lt;&gt;"",I10&lt;&gt;"Y",I10&lt;&gt;"N"),AND(D10&lt;&gt;"",D10&lt;C10),AND(E10&lt;&gt;"",E10&lt;C10),AND(K10&lt;&gt;"",L10&lt;&gt;"",L10&lt;K10),AND(J10&lt;&gt;"",OR(J10&lt;0,J10&gt;1)),AND(J10&lt;&gt;"",J10&gt;0,L10=""),AND(G10&lt;&gt;"",H10=""),AND(I10&lt;&gt;"Y",F10="")),1,0))</f>
        <v>0</v>
      </c>
      <c r="AU10" s="15">
        <f>IF(AND(A10&lt;&gt;"",U10=0),1,0)</f>
        <v>0</v>
      </c>
    </row>
    <row r="11">
      <c r="A11" s="7" t="n"/>
      <c r="B11" s="7" t="n"/>
      <c r="C11" s="9" t="n"/>
      <c r="D11" s="9" t="n"/>
      <c r="E11" s="9" t="n"/>
      <c r="F11" s="34" t="n"/>
      <c r="G11" s="9" t="n"/>
      <c r="H11" s="34" t="n"/>
      <c r="I11" s="7" t="n"/>
      <c r="J11" s="35" t="n"/>
      <c r="K11" s="9" t="n"/>
      <c r="L11" s="9" t="n"/>
      <c r="M11" s="34" t="n"/>
      <c r="N11" s="34" t="n"/>
      <c r="O11" s="34" t="n"/>
      <c r="P11" s="9" t="n"/>
      <c r="Q11" s="34" t="n"/>
      <c r="R11" s="7" t="n"/>
      <c r="S11" s="15" t="str">
        <f>IF(A11="","",IF(C11="","Start date missing",IF(C11&gt;'Rent roll'!$B$4,"Not started",IF(AND(D11&lt;&gt;"",D11&lt;'Rent roll'!$B$4),"Ended","In force"))))</f>
        <v/>
      </c>
      <c r="T11" s="15">
        <f>IF(S11="In force",1,0)</f>
        <v>0</v>
      </c>
      <c r="U11" s="15">
        <f>IF(A11="",0,COUNTIF(Units!$C$5:$C$54,A11))</f>
        <v>0</v>
      </c>
      <c r="V11" s="15" t="str">
        <f>IF(U11=0,"",IFERROR(""&amp;INDEX(Units!$A$5:$A$54,MATCH(A11&amp;"|1",Units!$K$5:$K$54,0)),"")&amp;IF(U11&gt;=2,", "&amp;IFERROR(""&amp;INDEX(Units!$A$5:$A$54,MATCH(A11&amp;"|2",Units!$K$5:$K$54,0)),""),"")&amp;IF(U11&gt;=3,", "&amp;IFERROR(""&amp;INDEX(Units!$A$5:$A$54,MATCH(A11&amp;"|3",Units!$K$5:$K$54,0)),""),"")&amp;IF(U11&gt;3,", +"&amp;(U11-3)&amp;" more",""))</f>
        <v/>
      </c>
      <c r="W11" s="24">
        <f>IF(A11="",0,SUMIFS(Units!$B$5:$B$54,Units!$C$5:$C$54,A11))</f>
        <v>0</v>
      </c>
      <c r="X11" s="26" t="str">
        <f>IF(OR(T11=0,I11="Y"),"",IF(AND(G11&lt;&gt;"",'Rent roll'!$B$4&gt;=G11),H11,F11)*1)</f>
        <v/>
      </c>
      <c r="Y11" s="26" t="str">
        <f>IF(X11="","",X11*12)</f>
        <v/>
      </c>
      <c r="Z11" s="26" t="str">
        <f>IF(OR(X11="",W11&lt;=0),"",ROUND(X11*12/W11,2))</f>
        <v/>
      </c>
      <c r="AA11" s="31" t="str">
        <f>IF(OR(T11=0,G11="",'Rent roll'!$B$4&gt;=G11,AND(D11&lt;&gt;"",G11&gt;D11)),"",G11)</f>
        <v/>
      </c>
      <c r="AB11" s="26" t="str">
        <f>IF(OR(AA11="",H11=""),"",H11)</f>
        <v/>
      </c>
      <c r="AC11" s="15">
        <f>IF(AND(T11=1,E11&lt;&gt;"",E11&gt;'Rent roll'!$B$4),1,0)</f>
        <v>0</v>
      </c>
      <c r="AD11" s="15">
        <f>IF(AND(T11=1,J11&lt;&gt;"",J11&gt;0,L11&lt;&gt;"",OR(K11="",K11&lt;='Rent roll'!$B$4),'Rent roll'!$B$4&lt;=L11),1,0)</f>
        <v>0</v>
      </c>
      <c r="AE11" s="26">
        <f>IF(X11="",0,IF(AC11=1,X11,IF(AD11=1,ROUND(X11*J11,2),0)))</f>
        <v>0</v>
      </c>
      <c r="AF11" s="26">
        <f>IF(T11=0,0,N11+IF(AND(O11&lt;&gt;"",O11&gt;0,OR(P11="",P11&gt;='Rent roll'!$B$4)),O11,0))</f>
        <v>0</v>
      </c>
      <c r="AG11" s="15">
        <f>IF(AND(T11=1,O11&lt;&gt;"",O11&gt;0,P11&lt;&gt;"",P11&lt;'Rent roll'!$B$4),1,0)</f>
        <v>0</v>
      </c>
      <c r="AH11" s="26" t="str">
        <f>IF(T11=1,IF(Q11="",0,Q11),"")</f>
        <v/>
      </c>
      <c r="AI11" s="15">
        <f>IF(X11="",0,1)</f>
        <v>0</v>
      </c>
      <c r="AJ11" s="15">
        <f>IF(AND(T11=1,I11="Y"),1,0)</f>
        <v>0</v>
      </c>
      <c r="AK11" s="23" t="str">
        <f>IF(OR(T11=0,D11=""),"",D11-'Rent roll'!$B$4)</f>
        <v/>
      </c>
      <c r="AL11" s="23" t="str">
        <f>IF(T11=0,"",IF(D11="","No end",YEAR(D11)))</f>
        <v/>
      </c>
      <c r="AM11" s="24">
        <f>IF(OR(AK11="",X11=""),0,AK11*Y11)</f>
        <v>0</v>
      </c>
      <c r="AN11" s="26">
        <f>IF(OR(AK11="",X11=""),0,Y11)</f>
        <v>0</v>
      </c>
      <c r="AO11" s="24">
        <f>IF(AK11="",0,AK11*W11)</f>
        <v>0</v>
      </c>
      <c r="AP11" s="24">
        <f>IF(AK11="",0,W11)</f>
        <v>0</v>
      </c>
      <c r="AQ11" s="15" t="str">
        <f>IF(T11=1,COUNTIF($T$5:T11,1),"")</f>
        <v/>
      </c>
      <c r="AR11" s="36" t="str">
        <f>IF(X11="","",Y11+AQ11/1000000)</f>
        <v/>
      </c>
      <c r="AS11" s="15">
        <f>IF(A11="",0,IF(COUNTIF($A$5:$A$34,A11)&gt;1,1,0))</f>
        <v>0</v>
      </c>
      <c r="AT11" s="15">
        <f>IF(A11="",0,IF(OR(NOT(ISNUMBER(C11)),AND(D11&lt;&gt;"",NOT(ISNUMBER(D11))),AND(E11&lt;&gt;"",NOT(ISNUMBER(E11))),AND(F11&lt;&gt;"",NOT(ISNUMBER(F11))),AND(G11&lt;&gt;"",NOT(ISNUMBER(G11))),AND(H11&lt;&gt;"",NOT(ISNUMBER(H11))),AND(J11&lt;&gt;"",NOT(ISNUMBER(J11))),AND(K11&lt;&gt;"",NOT(ISNUMBER(K11))),AND(L11&lt;&gt;"",NOT(ISNUMBER(L11))),AND(M11&lt;&gt;"",NOT(ISNUMBER(M11))),AND(N11&lt;&gt;"",NOT(ISNUMBER(N11))),AND(O11&lt;&gt;"",NOT(ISNUMBER(O11))),AND(P11&lt;&gt;"",NOT(ISNUMBER(P11))),AND(Q11&lt;&gt;"",NOT(ISNUMBER(Q11))),AND(I11&lt;&gt;"",I11&lt;&gt;"Y",I11&lt;&gt;"N"),AND(D11&lt;&gt;"",D11&lt;C11),AND(E11&lt;&gt;"",E11&lt;C11),AND(K11&lt;&gt;"",L11&lt;&gt;"",L11&lt;K11),AND(J11&lt;&gt;"",OR(J11&lt;0,J11&gt;1)),AND(J11&lt;&gt;"",J11&gt;0,L11=""),AND(G11&lt;&gt;"",H11=""),AND(I11&lt;&gt;"Y",F11="")),1,0))</f>
        <v>0</v>
      </c>
      <c r="AU11" s="15">
        <f>IF(AND(A11&lt;&gt;"",U11=0),1,0)</f>
        <v>0</v>
      </c>
    </row>
    <row r="12">
      <c r="A12" s="7" t="n"/>
      <c r="B12" s="7" t="n"/>
      <c r="C12" s="9" t="n"/>
      <c r="D12" s="9" t="n"/>
      <c r="E12" s="9" t="n"/>
      <c r="F12" s="34" t="n"/>
      <c r="G12" s="9" t="n"/>
      <c r="H12" s="34" t="n"/>
      <c r="I12" s="7" t="n"/>
      <c r="J12" s="35" t="n"/>
      <c r="K12" s="9" t="n"/>
      <c r="L12" s="9" t="n"/>
      <c r="M12" s="34" t="n"/>
      <c r="N12" s="34" t="n"/>
      <c r="O12" s="34" t="n"/>
      <c r="P12" s="9" t="n"/>
      <c r="Q12" s="34" t="n"/>
      <c r="R12" s="7" t="n"/>
      <c r="S12" s="15" t="str">
        <f>IF(A12="","",IF(C12="","Start date missing",IF(C12&gt;'Rent roll'!$B$4,"Not started",IF(AND(D12&lt;&gt;"",D12&lt;'Rent roll'!$B$4),"Ended","In force"))))</f>
        <v/>
      </c>
      <c r="T12" s="15">
        <f>IF(S12="In force",1,0)</f>
        <v>0</v>
      </c>
      <c r="U12" s="15">
        <f>IF(A12="",0,COUNTIF(Units!$C$5:$C$54,A12))</f>
        <v>0</v>
      </c>
      <c r="V12" s="15" t="str">
        <f>IF(U12=0,"",IFERROR(""&amp;INDEX(Units!$A$5:$A$54,MATCH(A12&amp;"|1",Units!$K$5:$K$54,0)),"")&amp;IF(U12&gt;=2,", "&amp;IFERROR(""&amp;INDEX(Units!$A$5:$A$54,MATCH(A12&amp;"|2",Units!$K$5:$K$54,0)),""),"")&amp;IF(U12&gt;=3,", "&amp;IFERROR(""&amp;INDEX(Units!$A$5:$A$54,MATCH(A12&amp;"|3",Units!$K$5:$K$54,0)),""),"")&amp;IF(U12&gt;3,", +"&amp;(U12-3)&amp;" more",""))</f>
        <v/>
      </c>
      <c r="W12" s="24">
        <f>IF(A12="",0,SUMIFS(Units!$B$5:$B$54,Units!$C$5:$C$54,A12))</f>
        <v>0</v>
      </c>
      <c r="X12" s="26" t="str">
        <f>IF(OR(T12=0,I12="Y"),"",IF(AND(G12&lt;&gt;"",'Rent roll'!$B$4&gt;=G12),H12,F12)*1)</f>
        <v/>
      </c>
      <c r="Y12" s="26" t="str">
        <f>IF(X12="","",X12*12)</f>
        <v/>
      </c>
      <c r="Z12" s="26" t="str">
        <f>IF(OR(X12="",W12&lt;=0),"",ROUND(X12*12/W12,2))</f>
        <v/>
      </c>
      <c r="AA12" s="31" t="str">
        <f>IF(OR(T12=0,G12="",'Rent roll'!$B$4&gt;=G12,AND(D12&lt;&gt;"",G12&gt;D12)),"",G12)</f>
        <v/>
      </c>
      <c r="AB12" s="26" t="str">
        <f>IF(OR(AA12="",H12=""),"",H12)</f>
        <v/>
      </c>
      <c r="AC12" s="15">
        <f>IF(AND(T12=1,E12&lt;&gt;"",E12&gt;'Rent roll'!$B$4),1,0)</f>
        <v>0</v>
      </c>
      <c r="AD12" s="15">
        <f>IF(AND(T12=1,J12&lt;&gt;"",J12&gt;0,L12&lt;&gt;"",OR(K12="",K12&lt;='Rent roll'!$B$4),'Rent roll'!$B$4&lt;=L12),1,0)</f>
        <v>0</v>
      </c>
      <c r="AE12" s="26">
        <f>IF(X12="",0,IF(AC12=1,X12,IF(AD12=1,ROUND(X12*J12,2),0)))</f>
        <v>0</v>
      </c>
      <c r="AF12" s="26">
        <f>IF(T12=0,0,N12+IF(AND(O12&lt;&gt;"",O12&gt;0,OR(P12="",P12&gt;='Rent roll'!$B$4)),O12,0))</f>
        <v>0</v>
      </c>
      <c r="AG12" s="15">
        <f>IF(AND(T12=1,O12&lt;&gt;"",O12&gt;0,P12&lt;&gt;"",P12&lt;'Rent roll'!$B$4),1,0)</f>
        <v>0</v>
      </c>
      <c r="AH12" s="26" t="str">
        <f>IF(T12=1,IF(Q12="",0,Q12),"")</f>
        <v/>
      </c>
      <c r="AI12" s="15">
        <f>IF(X12="",0,1)</f>
        <v>0</v>
      </c>
      <c r="AJ12" s="15">
        <f>IF(AND(T12=1,I12="Y"),1,0)</f>
        <v>0</v>
      </c>
      <c r="AK12" s="23" t="str">
        <f>IF(OR(T12=0,D12=""),"",D12-'Rent roll'!$B$4)</f>
        <v/>
      </c>
      <c r="AL12" s="23" t="str">
        <f>IF(T12=0,"",IF(D12="","No end",YEAR(D12)))</f>
        <v/>
      </c>
      <c r="AM12" s="24">
        <f>IF(OR(AK12="",X12=""),0,AK12*Y12)</f>
        <v>0</v>
      </c>
      <c r="AN12" s="26">
        <f>IF(OR(AK12="",X12=""),0,Y12)</f>
        <v>0</v>
      </c>
      <c r="AO12" s="24">
        <f>IF(AK12="",0,AK12*W12)</f>
        <v>0</v>
      </c>
      <c r="AP12" s="24">
        <f>IF(AK12="",0,W12)</f>
        <v>0</v>
      </c>
      <c r="AQ12" s="15" t="str">
        <f>IF(T12=1,COUNTIF($T$5:T12,1),"")</f>
        <v/>
      </c>
      <c r="AR12" s="36" t="str">
        <f>IF(X12="","",Y12+AQ12/1000000)</f>
        <v/>
      </c>
      <c r="AS12" s="15">
        <f>IF(A12="",0,IF(COUNTIF($A$5:$A$34,A12)&gt;1,1,0))</f>
        <v>0</v>
      </c>
      <c r="AT12" s="15">
        <f>IF(A12="",0,IF(OR(NOT(ISNUMBER(C12)),AND(D12&lt;&gt;"",NOT(ISNUMBER(D12))),AND(E12&lt;&gt;"",NOT(ISNUMBER(E12))),AND(F12&lt;&gt;"",NOT(ISNUMBER(F12))),AND(G12&lt;&gt;"",NOT(ISNUMBER(G12))),AND(H12&lt;&gt;"",NOT(ISNUMBER(H12))),AND(J12&lt;&gt;"",NOT(ISNUMBER(J12))),AND(K12&lt;&gt;"",NOT(ISNUMBER(K12))),AND(L12&lt;&gt;"",NOT(ISNUMBER(L12))),AND(M12&lt;&gt;"",NOT(ISNUMBER(M12))),AND(N12&lt;&gt;"",NOT(ISNUMBER(N12))),AND(O12&lt;&gt;"",NOT(ISNUMBER(O12))),AND(P12&lt;&gt;"",NOT(ISNUMBER(P12))),AND(Q12&lt;&gt;"",NOT(ISNUMBER(Q12))),AND(I12&lt;&gt;"",I12&lt;&gt;"Y",I12&lt;&gt;"N"),AND(D12&lt;&gt;"",D12&lt;C12),AND(E12&lt;&gt;"",E12&lt;C12),AND(K12&lt;&gt;"",L12&lt;&gt;"",L12&lt;K12),AND(J12&lt;&gt;"",OR(J12&lt;0,J12&gt;1)),AND(J12&lt;&gt;"",J12&gt;0,L12=""),AND(G12&lt;&gt;"",H12=""),AND(I12&lt;&gt;"Y",F12="")),1,0))</f>
        <v>0</v>
      </c>
      <c r="AU12" s="15">
        <f>IF(AND(A12&lt;&gt;"",U12=0),1,0)</f>
        <v>0</v>
      </c>
    </row>
    <row r="13">
      <c r="A13" s="7" t="n"/>
      <c r="B13" s="7" t="n"/>
      <c r="C13" s="9" t="n"/>
      <c r="D13" s="9" t="n"/>
      <c r="E13" s="9" t="n"/>
      <c r="F13" s="34" t="n"/>
      <c r="G13" s="9" t="n"/>
      <c r="H13" s="34" t="n"/>
      <c r="I13" s="7" t="n"/>
      <c r="J13" s="35" t="n"/>
      <c r="K13" s="9" t="n"/>
      <c r="L13" s="9" t="n"/>
      <c r="M13" s="34" t="n"/>
      <c r="N13" s="34" t="n"/>
      <c r="O13" s="34" t="n"/>
      <c r="P13" s="9" t="n"/>
      <c r="Q13" s="34" t="n"/>
      <c r="R13" s="7" t="n"/>
      <c r="S13" s="15" t="str">
        <f>IF(A13="","",IF(C13="","Start date missing",IF(C13&gt;'Rent roll'!$B$4,"Not started",IF(AND(D13&lt;&gt;"",D13&lt;'Rent roll'!$B$4),"Ended","In force"))))</f>
        <v/>
      </c>
      <c r="T13" s="15">
        <f>IF(S13="In force",1,0)</f>
        <v>0</v>
      </c>
      <c r="U13" s="15">
        <f>IF(A13="",0,COUNTIF(Units!$C$5:$C$54,A13))</f>
        <v>0</v>
      </c>
      <c r="V13" s="15" t="str">
        <f>IF(U13=0,"",IFERROR(""&amp;INDEX(Units!$A$5:$A$54,MATCH(A13&amp;"|1",Units!$K$5:$K$54,0)),"")&amp;IF(U13&gt;=2,", "&amp;IFERROR(""&amp;INDEX(Units!$A$5:$A$54,MATCH(A13&amp;"|2",Units!$K$5:$K$54,0)),""),"")&amp;IF(U13&gt;=3,", "&amp;IFERROR(""&amp;INDEX(Units!$A$5:$A$54,MATCH(A13&amp;"|3",Units!$K$5:$K$54,0)),""),"")&amp;IF(U13&gt;3,", +"&amp;(U13-3)&amp;" more",""))</f>
        <v/>
      </c>
      <c r="W13" s="24">
        <f>IF(A13="",0,SUMIFS(Units!$B$5:$B$54,Units!$C$5:$C$54,A13))</f>
        <v>0</v>
      </c>
      <c r="X13" s="26" t="str">
        <f>IF(OR(T13=0,I13="Y"),"",IF(AND(G13&lt;&gt;"",'Rent roll'!$B$4&gt;=G13),H13,F13)*1)</f>
        <v/>
      </c>
      <c r="Y13" s="26" t="str">
        <f>IF(X13="","",X13*12)</f>
        <v/>
      </c>
      <c r="Z13" s="26" t="str">
        <f>IF(OR(X13="",W13&lt;=0),"",ROUND(X13*12/W13,2))</f>
        <v/>
      </c>
      <c r="AA13" s="31" t="str">
        <f>IF(OR(T13=0,G13="",'Rent roll'!$B$4&gt;=G13,AND(D13&lt;&gt;"",G13&gt;D13)),"",G13)</f>
        <v/>
      </c>
      <c r="AB13" s="26" t="str">
        <f>IF(OR(AA13="",H13=""),"",H13)</f>
        <v/>
      </c>
      <c r="AC13" s="15">
        <f>IF(AND(T13=1,E13&lt;&gt;"",E13&gt;'Rent roll'!$B$4),1,0)</f>
        <v>0</v>
      </c>
      <c r="AD13" s="15">
        <f>IF(AND(T13=1,J13&lt;&gt;"",J13&gt;0,L13&lt;&gt;"",OR(K13="",K13&lt;='Rent roll'!$B$4),'Rent roll'!$B$4&lt;=L13),1,0)</f>
        <v>0</v>
      </c>
      <c r="AE13" s="26">
        <f>IF(X13="",0,IF(AC13=1,X13,IF(AD13=1,ROUND(X13*J13,2),0)))</f>
        <v>0</v>
      </c>
      <c r="AF13" s="26">
        <f>IF(T13=0,0,N13+IF(AND(O13&lt;&gt;"",O13&gt;0,OR(P13="",P13&gt;='Rent roll'!$B$4)),O13,0))</f>
        <v>0</v>
      </c>
      <c r="AG13" s="15">
        <f>IF(AND(T13=1,O13&lt;&gt;"",O13&gt;0,P13&lt;&gt;"",P13&lt;'Rent roll'!$B$4),1,0)</f>
        <v>0</v>
      </c>
      <c r="AH13" s="26" t="str">
        <f>IF(T13=1,IF(Q13="",0,Q13),"")</f>
        <v/>
      </c>
      <c r="AI13" s="15">
        <f>IF(X13="",0,1)</f>
        <v>0</v>
      </c>
      <c r="AJ13" s="15">
        <f>IF(AND(T13=1,I13="Y"),1,0)</f>
        <v>0</v>
      </c>
      <c r="AK13" s="23" t="str">
        <f>IF(OR(T13=0,D13=""),"",D13-'Rent roll'!$B$4)</f>
        <v/>
      </c>
      <c r="AL13" s="23" t="str">
        <f>IF(T13=0,"",IF(D13="","No end",YEAR(D13)))</f>
        <v/>
      </c>
      <c r="AM13" s="24">
        <f>IF(OR(AK13="",X13=""),0,AK13*Y13)</f>
        <v>0</v>
      </c>
      <c r="AN13" s="26">
        <f>IF(OR(AK13="",X13=""),0,Y13)</f>
        <v>0</v>
      </c>
      <c r="AO13" s="24">
        <f>IF(AK13="",0,AK13*W13)</f>
        <v>0</v>
      </c>
      <c r="AP13" s="24">
        <f>IF(AK13="",0,W13)</f>
        <v>0</v>
      </c>
      <c r="AQ13" s="15" t="str">
        <f>IF(T13=1,COUNTIF($T$5:T13,1),"")</f>
        <v/>
      </c>
      <c r="AR13" s="36" t="str">
        <f>IF(X13="","",Y13+AQ13/1000000)</f>
        <v/>
      </c>
      <c r="AS13" s="15">
        <f>IF(A13="",0,IF(COUNTIF($A$5:$A$34,A13)&gt;1,1,0))</f>
        <v>0</v>
      </c>
      <c r="AT13" s="15">
        <f>IF(A13="",0,IF(OR(NOT(ISNUMBER(C13)),AND(D13&lt;&gt;"",NOT(ISNUMBER(D13))),AND(E13&lt;&gt;"",NOT(ISNUMBER(E13))),AND(F13&lt;&gt;"",NOT(ISNUMBER(F13))),AND(G13&lt;&gt;"",NOT(ISNUMBER(G13))),AND(H13&lt;&gt;"",NOT(ISNUMBER(H13))),AND(J13&lt;&gt;"",NOT(ISNUMBER(J13))),AND(K13&lt;&gt;"",NOT(ISNUMBER(K13))),AND(L13&lt;&gt;"",NOT(ISNUMBER(L13))),AND(M13&lt;&gt;"",NOT(ISNUMBER(M13))),AND(N13&lt;&gt;"",NOT(ISNUMBER(N13))),AND(O13&lt;&gt;"",NOT(ISNUMBER(O13))),AND(P13&lt;&gt;"",NOT(ISNUMBER(P13))),AND(Q13&lt;&gt;"",NOT(ISNUMBER(Q13))),AND(I13&lt;&gt;"",I13&lt;&gt;"Y",I13&lt;&gt;"N"),AND(D13&lt;&gt;"",D13&lt;C13),AND(E13&lt;&gt;"",E13&lt;C13),AND(K13&lt;&gt;"",L13&lt;&gt;"",L13&lt;K13),AND(J13&lt;&gt;"",OR(J13&lt;0,J13&gt;1)),AND(J13&lt;&gt;"",J13&gt;0,L13=""),AND(G13&lt;&gt;"",H13=""),AND(I13&lt;&gt;"Y",F13="")),1,0))</f>
        <v>0</v>
      </c>
      <c r="AU13" s="15">
        <f>IF(AND(A13&lt;&gt;"",U13=0),1,0)</f>
        <v>0</v>
      </c>
    </row>
    <row r="14">
      <c r="A14" s="7" t="n"/>
      <c r="B14" s="7" t="n"/>
      <c r="C14" s="9" t="n"/>
      <c r="D14" s="9" t="n"/>
      <c r="E14" s="9" t="n"/>
      <c r="F14" s="34" t="n"/>
      <c r="G14" s="9" t="n"/>
      <c r="H14" s="34" t="n"/>
      <c r="I14" s="7" t="n"/>
      <c r="J14" s="35" t="n"/>
      <c r="K14" s="9" t="n"/>
      <c r="L14" s="9" t="n"/>
      <c r="M14" s="34" t="n"/>
      <c r="N14" s="34" t="n"/>
      <c r="O14" s="34" t="n"/>
      <c r="P14" s="9" t="n"/>
      <c r="Q14" s="34" t="n"/>
      <c r="R14" s="7" t="n"/>
      <c r="S14" s="15" t="str">
        <f>IF(A14="","",IF(C14="","Start date missing",IF(C14&gt;'Rent roll'!$B$4,"Not started",IF(AND(D14&lt;&gt;"",D14&lt;'Rent roll'!$B$4),"Ended","In force"))))</f>
        <v/>
      </c>
      <c r="T14" s="15">
        <f>IF(S14="In force",1,0)</f>
        <v>0</v>
      </c>
      <c r="U14" s="15">
        <f>IF(A14="",0,COUNTIF(Units!$C$5:$C$54,A14))</f>
        <v>0</v>
      </c>
      <c r="V14" s="15" t="str">
        <f>IF(U14=0,"",IFERROR(""&amp;INDEX(Units!$A$5:$A$54,MATCH(A14&amp;"|1",Units!$K$5:$K$54,0)),"")&amp;IF(U14&gt;=2,", "&amp;IFERROR(""&amp;INDEX(Units!$A$5:$A$54,MATCH(A14&amp;"|2",Units!$K$5:$K$54,0)),""),"")&amp;IF(U14&gt;=3,", "&amp;IFERROR(""&amp;INDEX(Units!$A$5:$A$54,MATCH(A14&amp;"|3",Units!$K$5:$K$54,0)),""),"")&amp;IF(U14&gt;3,", +"&amp;(U14-3)&amp;" more",""))</f>
        <v/>
      </c>
      <c r="W14" s="24">
        <f>IF(A14="",0,SUMIFS(Units!$B$5:$B$54,Units!$C$5:$C$54,A14))</f>
        <v>0</v>
      </c>
      <c r="X14" s="26" t="str">
        <f>IF(OR(T14=0,I14="Y"),"",IF(AND(G14&lt;&gt;"",'Rent roll'!$B$4&gt;=G14),H14,F14)*1)</f>
        <v/>
      </c>
      <c r="Y14" s="26" t="str">
        <f>IF(X14="","",X14*12)</f>
        <v/>
      </c>
      <c r="Z14" s="26" t="str">
        <f>IF(OR(X14="",W14&lt;=0),"",ROUND(X14*12/W14,2))</f>
        <v/>
      </c>
      <c r="AA14" s="31" t="str">
        <f>IF(OR(T14=0,G14="",'Rent roll'!$B$4&gt;=G14,AND(D14&lt;&gt;"",G14&gt;D14)),"",G14)</f>
        <v/>
      </c>
      <c r="AB14" s="26" t="str">
        <f>IF(OR(AA14="",H14=""),"",H14)</f>
        <v/>
      </c>
      <c r="AC14" s="15">
        <f>IF(AND(T14=1,E14&lt;&gt;"",E14&gt;'Rent roll'!$B$4),1,0)</f>
        <v>0</v>
      </c>
      <c r="AD14" s="15">
        <f>IF(AND(T14=1,J14&lt;&gt;"",J14&gt;0,L14&lt;&gt;"",OR(K14="",K14&lt;='Rent roll'!$B$4),'Rent roll'!$B$4&lt;=L14),1,0)</f>
        <v>0</v>
      </c>
      <c r="AE14" s="26">
        <f>IF(X14="",0,IF(AC14=1,X14,IF(AD14=1,ROUND(X14*J14,2),0)))</f>
        <v>0</v>
      </c>
      <c r="AF14" s="26">
        <f>IF(T14=0,0,N14+IF(AND(O14&lt;&gt;"",O14&gt;0,OR(P14="",P14&gt;='Rent roll'!$B$4)),O14,0))</f>
        <v>0</v>
      </c>
      <c r="AG14" s="15">
        <f>IF(AND(T14=1,O14&lt;&gt;"",O14&gt;0,P14&lt;&gt;"",P14&lt;'Rent roll'!$B$4),1,0)</f>
        <v>0</v>
      </c>
      <c r="AH14" s="26" t="str">
        <f>IF(T14=1,IF(Q14="",0,Q14),"")</f>
        <v/>
      </c>
      <c r="AI14" s="15">
        <f>IF(X14="",0,1)</f>
        <v>0</v>
      </c>
      <c r="AJ14" s="15">
        <f>IF(AND(T14=1,I14="Y"),1,0)</f>
        <v>0</v>
      </c>
      <c r="AK14" s="23" t="str">
        <f>IF(OR(T14=0,D14=""),"",D14-'Rent roll'!$B$4)</f>
        <v/>
      </c>
      <c r="AL14" s="23" t="str">
        <f>IF(T14=0,"",IF(D14="","No end",YEAR(D14)))</f>
        <v/>
      </c>
      <c r="AM14" s="24">
        <f>IF(OR(AK14="",X14=""),0,AK14*Y14)</f>
        <v>0</v>
      </c>
      <c r="AN14" s="26">
        <f>IF(OR(AK14="",X14=""),0,Y14)</f>
        <v>0</v>
      </c>
      <c r="AO14" s="24">
        <f>IF(AK14="",0,AK14*W14)</f>
        <v>0</v>
      </c>
      <c r="AP14" s="24">
        <f>IF(AK14="",0,W14)</f>
        <v>0</v>
      </c>
      <c r="AQ14" s="15" t="str">
        <f>IF(T14=1,COUNTIF($T$5:T14,1),"")</f>
        <v/>
      </c>
      <c r="AR14" s="36" t="str">
        <f>IF(X14="","",Y14+AQ14/1000000)</f>
        <v/>
      </c>
      <c r="AS14" s="15">
        <f>IF(A14="",0,IF(COUNTIF($A$5:$A$34,A14)&gt;1,1,0))</f>
        <v>0</v>
      </c>
      <c r="AT14" s="15">
        <f>IF(A14="",0,IF(OR(NOT(ISNUMBER(C14)),AND(D14&lt;&gt;"",NOT(ISNUMBER(D14))),AND(E14&lt;&gt;"",NOT(ISNUMBER(E14))),AND(F14&lt;&gt;"",NOT(ISNUMBER(F14))),AND(G14&lt;&gt;"",NOT(ISNUMBER(G14))),AND(H14&lt;&gt;"",NOT(ISNUMBER(H14))),AND(J14&lt;&gt;"",NOT(ISNUMBER(J14))),AND(K14&lt;&gt;"",NOT(ISNUMBER(K14))),AND(L14&lt;&gt;"",NOT(ISNUMBER(L14))),AND(M14&lt;&gt;"",NOT(ISNUMBER(M14))),AND(N14&lt;&gt;"",NOT(ISNUMBER(N14))),AND(O14&lt;&gt;"",NOT(ISNUMBER(O14))),AND(P14&lt;&gt;"",NOT(ISNUMBER(P14))),AND(Q14&lt;&gt;"",NOT(ISNUMBER(Q14))),AND(I14&lt;&gt;"",I14&lt;&gt;"Y",I14&lt;&gt;"N"),AND(D14&lt;&gt;"",D14&lt;C14),AND(E14&lt;&gt;"",E14&lt;C14),AND(K14&lt;&gt;"",L14&lt;&gt;"",L14&lt;K14),AND(J14&lt;&gt;"",OR(J14&lt;0,J14&gt;1)),AND(J14&lt;&gt;"",J14&gt;0,L14=""),AND(G14&lt;&gt;"",H14=""),AND(I14&lt;&gt;"Y",F14="")),1,0))</f>
        <v>0</v>
      </c>
      <c r="AU14" s="15">
        <f>IF(AND(A14&lt;&gt;"",U14=0),1,0)</f>
        <v>0</v>
      </c>
    </row>
    <row r="15">
      <c r="A15" s="7" t="n"/>
      <c r="B15" s="7" t="n"/>
      <c r="C15" s="9" t="n"/>
      <c r="D15" s="9" t="n"/>
      <c r="E15" s="9" t="n"/>
      <c r="F15" s="34" t="n"/>
      <c r="G15" s="9" t="n"/>
      <c r="H15" s="34" t="n"/>
      <c r="I15" s="7" t="n"/>
      <c r="J15" s="35" t="n"/>
      <c r="K15" s="9" t="n"/>
      <c r="L15" s="9" t="n"/>
      <c r="M15" s="34" t="n"/>
      <c r="N15" s="34" t="n"/>
      <c r="O15" s="34" t="n"/>
      <c r="P15" s="9" t="n"/>
      <c r="Q15" s="34" t="n"/>
      <c r="R15" s="7" t="n"/>
      <c r="S15" s="15" t="str">
        <f>IF(A15="","",IF(C15="","Start date missing",IF(C15&gt;'Rent roll'!$B$4,"Not started",IF(AND(D15&lt;&gt;"",D15&lt;'Rent roll'!$B$4),"Ended","In force"))))</f>
        <v/>
      </c>
      <c r="T15" s="15">
        <f>IF(S15="In force",1,0)</f>
        <v>0</v>
      </c>
      <c r="U15" s="15">
        <f>IF(A15="",0,COUNTIF(Units!$C$5:$C$54,A15))</f>
        <v>0</v>
      </c>
      <c r="V15" s="15" t="str">
        <f>IF(U15=0,"",IFERROR(""&amp;INDEX(Units!$A$5:$A$54,MATCH(A15&amp;"|1",Units!$K$5:$K$54,0)),"")&amp;IF(U15&gt;=2,", "&amp;IFERROR(""&amp;INDEX(Units!$A$5:$A$54,MATCH(A15&amp;"|2",Units!$K$5:$K$54,0)),""),"")&amp;IF(U15&gt;=3,", "&amp;IFERROR(""&amp;INDEX(Units!$A$5:$A$54,MATCH(A15&amp;"|3",Units!$K$5:$K$54,0)),""),"")&amp;IF(U15&gt;3,", +"&amp;(U15-3)&amp;" more",""))</f>
        <v/>
      </c>
      <c r="W15" s="24">
        <f>IF(A15="",0,SUMIFS(Units!$B$5:$B$54,Units!$C$5:$C$54,A15))</f>
        <v>0</v>
      </c>
      <c r="X15" s="26" t="str">
        <f>IF(OR(T15=0,I15="Y"),"",IF(AND(G15&lt;&gt;"",'Rent roll'!$B$4&gt;=G15),H15,F15)*1)</f>
        <v/>
      </c>
      <c r="Y15" s="26" t="str">
        <f>IF(X15="","",X15*12)</f>
        <v/>
      </c>
      <c r="Z15" s="26" t="str">
        <f>IF(OR(X15="",W15&lt;=0),"",ROUND(X15*12/W15,2))</f>
        <v/>
      </c>
      <c r="AA15" s="31" t="str">
        <f>IF(OR(T15=0,G15="",'Rent roll'!$B$4&gt;=G15,AND(D15&lt;&gt;"",G15&gt;D15)),"",G15)</f>
        <v/>
      </c>
      <c r="AB15" s="26" t="str">
        <f>IF(OR(AA15="",H15=""),"",H15)</f>
        <v/>
      </c>
      <c r="AC15" s="15">
        <f>IF(AND(T15=1,E15&lt;&gt;"",E15&gt;'Rent roll'!$B$4),1,0)</f>
        <v>0</v>
      </c>
      <c r="AD15" s="15">
        <f>IF(AND(T15=1,J15&lt;&gt;"",J15&gt;0,L15&lt;&gt;"",OR(K15="",K15&lt;='Rent roll'!$B$4),'Rent roll'!$B$4&lt;=L15),1,0)</f>
        <v>0</v>
      </c>
      <c r="AE15" s="26">
        <f>IF(X15="",0,IF(AC15=1,X15,IF(AD15=1,ROUND(X15*J15,2),0)))</f>
        <v>0</v>
      </c>
      <c r="AF15" s="26">
        <f>IF(T15=0,0,N15+IF(AND(O15&lt;&gt;"",O15&gt;0,OR(P15="",P15&gt;='Rent roll'!$B$4)),O15,0))</f>
        <v>0</v>
      </c>
      <c r="AG15" s="15">
        <f>IF(AND(T15=1,O15&lt;&gt;"",O15&gt;0,P15&lt;&gt;"",P15&lt;'Rent roll'!$B$4),1,0)</f>
        <v>0</v>
      </c>
      <c r="AH15" s="26" t="str">
        <f>IF(T15=1,IF(Q15="",0,Q15),"")</f>
        <v/>
      </c>
      <c r="AI15" s="15">
        <f>IF(X15="",0,1)</f>
        <v>0</v>
      </c>
      <c r="AJ15" s="15">
        <f>IF(AND(T15=1,I15="Y"),1,0)</f>
        <v>0</v>
      </c>
      <c r="AK15" s="23" t="str">
        <f>IF(OR(T15=0,D15=""),"",D15-'Rent roll'!$B$4)</f>
        <v/>
      </c>
      <c r="AL15" s="23" t="str">
        <f>IF(T15=0,"",IF(D15="","No end",YEAR(D15)))</f>
        <v/>
      </c>
      <c r="AM15" s="24">
        <f>IF(OR(AK15="",X15=""),0,AK15*Y15)</f>
        <v>0</v>
      </c>
      <c r="AN15" s="26">
        <f>IF(OR(AK15="",X15=""),0,Y15)</f>
        <v>0</v>
      </c>
      <c r="AO15" s="24">
        <f>IF(AK15="",0,AK15*W15)</f>
        <v>0</v>
      </c>
      <c r="AP15" s="24">
        <f>IF(AK15="",0,W15)</f>
        <v>0</v>
      </c>
      <c r="AQ15" s="15" t="str">
        <f>IF(T15=1,COUNTIF($T$5:T15,1),"")</f>
        <v/>
      </c>
      <c r="AR15" s="36" t="str">
        <f>IF(X15="","",Y15+AQ15/1000000)</f>
        <v/>
      </c>
      <c r="AS15" s="15">
        <f>IF(A15="",0,IF(COUNTIF($A$5:$A$34,A15)&gt;1,1,0))</f>
        <v>0</v>
      </c>
      <c r="AT15" s="15">
        <f>IF(A15="",0,IF(OR(NOT(ISNUMBER(C15)),AND(D15&lt;&gt;"",NOT(ISNUMBER(D15))),AND(E15&lt;&gt;"",NOT(ISNUMBER(E15))),AND(F15&lt;&gt;"",NOT(ISNUMBER(F15))),AND(G15&lt;&gt;"",NOT(ISNUMBER(G15))),AND(H15&lt;&gt;"",NOT(ISNUMBER(H15))),AND(J15&lt;&gt;"",NOT(ISNUMBER(J15))),AND(K15&lt;&gt;"",NOT(ISNUMBER(K15))),AND(L15&lt;&gt;"",NOT(ISNUMBER(L15))),AND(M15&lt;&gt;"",NOT(ISNUMBER(M15))),AND(N15&lt;&gt;"",NOT(ISNUMBER(N15))),AND(O15&lt;&gt;"",NOT(ISNUMBER(O15))),AND(P15&lt;&gt;"",NOT(ISNUMBER(P15))),AND(Q15&lt;&gt;"",NOT(ISNUMBER(Q15))),AND(I15&lt;&gt;"",I15&lt;&gt;"Y",I15&lt;&gt;"N"),AND(D15&lt;&gt;"",D15&lt;C15),AND(E15&lt;&gt;"",E15&lt;C15),AND(K15&lt;&gt;"",L15&lt;&gt;"",L15&lt;K15),AND(J15&lt;&gt;"",OR(J15&lt;0,J15&gt;1)),AND(J15&lt;&gt;"",J15&gt;0,L15=""),AND(G15&lt;&gt;"",H15=""),AND(I15&lt;&gt;"Y",F15="")),1,0))</f>
        <v>0</v>
      </c>
      <c r="AU15" s="15">
        <f>IF(AND(A15&lt;&gt;"",U15=0),1,0)</f>
        <v>0</v>
      </c>
    </row>
    <row r="16">
      <c r="A16" s="7" t="n"/>
      <c r="B16" s="7" t="n"/>
      <c r="C16" s="9" t="n"/>
      <c r="D16" s="9" t="n"/>
      <c r="E16" s="9" t="n"/>
      <c r="F16" s="34" t="n"/>
      <c r="G16" s="9" t="n"/>
      <c r="H16" s="34" t="n"/>
      <c r="I16" s="7" t="n"/>
      <c r="J16" s="35" t="n"/>
      <c r="K16" s="9" t="n"/>
      <c r="L16" s="9" t="n"/>
      <c r="M16" s="34" t="n"/>
      <c r="N16" s="34" t="n"/>
      <c r="O16" s="34" t="n"/>
      <c r="P16" s="9" t="n"/>
      <c r="Q16" s="34" t="n"/>
      <c r="R16" s="7" t="n"/>
      <c r="S16" s="15" t="str">
        <f>IF(A16="","",IF(C16="","Start date missing",IF(C16&gt;'Rent roll'!$B$4,"Not started",IF(AND(D16&lt;&gt;"",D16&lt;'Rent roll'!$B$4),"Ended","In force"))))</f>
        <v/>
      </c>
      <c r="T16" s="15">
        <f>IF(S16="In force",1,0)</f>
        <v>0</v>
      </c>
      <c r="U16" s="15">
        <f>IF(A16="",0,COUNTIF(Units!$C$5:$C$54,A16))</f>
        <v>0</v>
      </c>
      <c r="V16" s="15" t="str">
        <f>IF(U16=0,"",IFERROR(""&amp;INDEX(Units!$A$5:$A$54,MATCH(A16&amp;"|1",Units!$K$5:$K$54,0)),"")&amp;IF(U16&gt;=2,", "&amp;IFERROR(""&amp;INDEX(Units!$A$5:$A$54,MATCH(A16&amp;"|2",Units!$K$5:$K$54,0)),""),"")&amp;IF(U16&gt;=3,", "&amp;IFERROR(""&amp;INDEX(Units!$A$5:$A$54,MATCH(A16&amp;"|3",Units!$K$5:$K$54,0)),""),"")&amp;IF(U16&gt;3,", +"&amp;(U16-3)&amp;" more",""))</f>
        <v/>
      </c>
      <c r="W16" s="24">
        <f>IF(A16="",0,SUMIFS(Units!$B$5:$B$54,Units!$C$5:$C$54,A16))</f>
        <v>0</v>
      </c>
      <c r="X16" s="26" t="str">
        <f>IF(OR(T16=0,I16="Y"),"",IF(AND(G16&lt;&gt;"",'Rent roll'!$B$4&gt;=G16),H16,F16)*1)</f>
        <v/>
      </c>
      <c r="Y16" s="26" t="str">
        <f>IF(X16="","",X16*12)</f>
        <v/>
      </c>
      <c r="Z16" s="26" t="str">
        <f>IF(OR(X16="",W16&lt;=0),"",ROUND(X16*12/W16,2))</f>
        <v/>
      </c>
      <c r="AA16" s="31" t="str">
        <f>IF(OR(T16=0,G16="",'Rent roll'!$B$4&gt;=G16,AND(D16&lt;&gt;"",G16&gt;D16)),"",G16)</f>
        <v/>
      </c>
      <c r="AB16" s="26" t="str">
        <f>IF(OR(AA16="",H16=""),"",H16)</f>
        <v/>
      </c>
      <c r="AC16" s="15">
        <f>IF(AND(T16=1,E16&lt;&gt;"",E16&gt;'Rent roll'!$B$4),1,0)</f>
        <v>0</v>
      </c>
      <c r="AD16" s="15">
        <f>IF(AND(T16=1,J16&lt;&gt;"",J16&gt;0,L16&lt;&gt;"",OR(K16="",K16&lt;='Rent roll'!$B$4),'Rent roll'!$B$4&lt;=L16),1,0)</f>
        <v>0</v>
      </c>
      <c r="AE16" s="26">
        <f>IF(X16="",0,IF(AC16=1,X16,IF(AD16=1,ROUND(X16*J16,2),0)))</f>
        <v>0</v>
      </c>
      <c r="AF16" s="26">
        <f>IF(T16=0,0,N16+IF(AND(O16&lt;&gt;"",O16&gt;0,OR(P16="",P16&gt;='Rent roll'!$B$4)),O16,0))</f>
        <v>0</v>
      </c>
      <c r="AG16" s="15">
        <f>IF(AND(T16=1,O16&lt;&gt;"",O16&gt;0,P16&lt;&gt;"",P16&lt;'Rent roll'!$B$4),1,0)</f>
        <v>0</v>
      </c>
      <c r="AH16" s="26" t="str">
        <f>IF(T16=1,IF(Q16="",0,Q16),"")</f>
        <v/>
      </c>
      <c r="AI16" s="15">
        <f>IF(X16="",0,1)</f>
        <v>0</v>
      </c>
      <c r="AJ16" s="15">
        <f>IF(AND(T16=1,I16="Y"),1,0)</f>
        <v>0</v>
      </c>
      <c r="AK16" s="23" t="str">
        <f>IF(OR(T16=0,D16=""),"",D16-'Rent roll'!$B$4)</f>
        <v/>
      </c>
      <c r="AL16" s="23" t="str">
        <f>IF(T16=0,"",IF(D16="","No end",YEAR(D16)))</f>
        <v/>
      </c>
      <c r="AM16" s="24">
        <f>IF(OR(AK16="",X16=""),0,AK16*Y16)</f>
        <v>0</v>
      </c>
      <c r="AN16" s="26">
        <f>IF(OR(AK16="",X16=""),0,Y16)</f>
        <v>0</v>
      </c>
      <c r="AO16" s="24">
        <f>IF(AK16="",0,AK16*W16)</f>
        <v>0</v>
      </c>
      <c r="AP16" s="24">
        <f>IF(AK16="",0,W16)</f>
        <v>0</v>
      </c>
      <c r="AQ16" s="15" t="str">
        <f>IF(T16=1,COUNTIF($T$5:T16,1),"")</f>
        <v/>
      </c>
      <c r="AR16" s="36" t="str">
        <f>IF(X16="","",Y16+AQ16/1000000)</f>
        <v/>
      </c>
      <c r="AS16" s="15">
        <f>IF(A16="",0,IF(COUNTIF($A$5:$A$34,A16)&gt;1,1,0))</f>
        <v>0</v>
      </c>
      <c r="AT16" s="15">
        <f>IF(A16="",0,IF(OR(NOT(ISNUMBER(C16)),AND(D16&lt;&gt;"",NOT(ISNUMBER(D16))),AND(E16&lt;&gt;"",NOT(ISNUMBER(E16))),AND(F16&lt;&gt;"",NOT(ISNUMBER(F16))),AND(G16&lt;&gt;"",NOT(ISNUMBER(G16))),AND(H16&lt;&gt;"",NOT(ISNUMBER(H16))),AND(J16&lt;&gt;"",NOT(ISNUMBER(J16))),AND(K16&lt;&gt;"",NOT(ISNUMBER(K16))),AND(L16&lt;&gt;"",NOT(ISNUMBER(L16))),AND(M16&lt;&gt;"",NOT(ISNUMBER(M16))),AND(N16&lt;&gt;"",NOT(ISNUMBER(N16))),AND(O16&lt;&gt;"",NOT(ISNUMBER(O16))),AND(P16&lt;&gt;"",NOT(ISNUMBER(P16))),AND(Q16&lt;&gt;"",NOT(ISNUMBER(Q16))),AND(I16&lt;&gt;"",I16&lt;&gt;"Y",I16&lt;&gt;"N"),AND(D16&lt;&gt;"",D16&lt;C16),AND(E16&lt;&gt;"",E16&lt;C16),AND(K16&lt;&gt;"",L16&lt;&gt;"",L16&lt;K16),AND(J16&lt;&gt;"",OR(J16&lt;0,J16&gt;1)),AND(J16&lt;&gt;"",J16&gt;0,L16=""),AND(G16&lt;&gt;"",H16=""),AND(I16&lt;&gt;"Y",F16="")),1,0))</f>
        <v>0</v>
      </c>
      <c r="AU16" s="15">
        <f>IF(AND(A16&lt;&gt;"",U16=0),1,0)</f>
        <v>0</v>
      </c>
    </row>
    <row r="17">
      <c r="A17" s="7" t="n"/>
      <c r="B17" s="7" t="n"/>
      <c r="C17" s="9" t="n"/>
      <c r="D17" s="9" t="n"/>
      <c r="E17" s="9" t="n"/>
      <c r="F17" s="34" t="n"/>
      <c r="G17" s="9" t="n"/>
      <c r="H17" s="34" t="n"/>
      <c r="I17" s="7" t="n"/>
      <c r="J17" s="35" t="n"/>
      <c r="K17" s="9" t="n"/>
      <c r="L17" s="9" t="n"/>
      <c r="M17" s="34" t="n"/>
      <c r="N17" s="34" t="n"/>
      <c r="O17" s="34" t="n"/>
      <c r="P17" s="9" t="n"/>
      <c r="Q17" s="34" t="n"/>
      <c r="R17" s="7" t="n"/>
      <c r="S17" s="15" t="str">
        <f>IF(A17="","",IF(C17="","Start date missing",IF(C17&gt;'Rent roll'!$B$4,"Not started",IF(AND(D17&lt;&gt;"",D17&lt;'Rent roll'!$B$4),"Ended","In force"))))</f>
        <v/>
      </c>
      <c r="T17" s="15">
        <f>IF(S17="In force",1,0)</f>
        <v>0</v>
      </c>
      <c r="U17" s="15">
        <f>IF(A17="",0,COUNTIF(Units!$C$5:$C$54,A17))</f>
        <v>0</v>
      </c>
      <c r="V17" s="15" t="str">
        <f>IF(U17=0,"",IFERROR(""&amp;INDEX(Units!$A$5:$A$54,MATCH(A17&amp;"|1",Units!$K$5:$K$54,0)),"")&amp;IF(U17&gt;=2,", "&amp;IFERROR(""&amp;INDEX(Units!$A$5:$A$54,MATCH(A17&amp;"|2",Units!$K$5:$K$54,0)),""),"")&amp;IF(U17&gt;=3,", "&amp;IFERROR(""&amp;INDEX(Units!$A$5:$A$54,MATCH(A17&amp;"|3",Units!$K$5:$K$54,0)),""),"")&amp;IF(U17&gt;3,", +"&amp;(U17-3)&amp;" more",""))</f>
        <v/>
      </c>
      <c r="W17" s="24">
        <f>IF(A17="",0,SUMIFS(Units!$B$5:$B$54,Units!$C$5:$C$54,A17))</f>
        <v>0</v>
      </c>
      <c r="X17" s="26" t="str">
        <f>IF(OR(T17=0,I17="Y"),"",IF(AND(G17&lt;&gt;"",'Rent roll'!$B$4&gt;=G17),H17,F17)*1)</f>
        <v/>
      </c>
      <c r="Y17" s="26" t="str">
        <f>IF(X17="","",X17*12)</f>
        <v/>
      </c>
      <c r="Z17" s="26" t="str">
        <f>IF(OR(X17="",W17&lt;=0),"",ROUND(X17*12/W17,2))</f>
        <v/>
      </c>
      <c r="AA17" s="31" t="str">
        <f>IF(OR(T17=0,G17="",'Rent roll'!$B$4&gt;=G17,AND(D17&lt;&gt;"",G17&gt;D17)),"",G17)</f>
        <v/>
      </c>
      <c r="AB17" s="26" t="str">
        <f>IF(OR(AA17="",H17=""),"",H17)</f>
        <v/>
      </c>
      <c r="AC17" s="15">
        <f>IF(AND(T17=1,E17&lt;&gt;"",E17&gt;'Rent roll'!$B$4),1,0)</f>
        <v>0</v>
      </c>
      <c r="AD17" s="15">
        <f>IF(AND(T17=1,J17&lt;&gt;"",J17&gt;0,L17&lt;&gt;"",OR(K17="",K17&lt;='Rent roll'!$B$4),'Rent roll'!$B$4&lt;=L17),1,0)</f>
        <v>0</v>
      </c>
      <c r="AE17" s="26">
        <f>IF(X17="",0,IF(AC17=1,X17,IF(AD17=1,ROUND(X17*J17,2),0)))</f>
        <v>0</v>
      </c>
      <c r="AF17" s="26">
        <f>IF(T17=0,0,N17+IF(AND(O17&lt;&gt;"",O17&gt;0,OR(P17="",P17&gt;='Rent roll'!$B$4)),O17,0))</f>
        <v>0</v>
      </c>
      <c r="AG17" s="15">
        <f>IF(AND(T17=1,O17&lt;&gt;"",O17&gt;0,P17&lt;&gt;"",P17&lt;'Rent roll'!$B$4),1,0)</f>
        <v>0</v>
      </c>
      <c r="AH17" s="26" t="str">
        <f>IF(T17=1,IF(Q17="",0,Q17),"")</f>
        <v/>
      </c>
      <c r="AI17" s="15">
        <f>IF(X17="",0,1)</f>
        <v>0</v>
      </c>
      <c r="AJ17" s="15">
        <f>IF(AND(T17=1,I17="Y"),1,0)</f>
        <v>0</v>
      </c>
      <c r="AK17" s="23" t="str">
        <f>IF(OR(T17=0,D17=""),"",D17-'Rent roll'!$B$4)</f>
        <v/>
      </c>
      <c r="AL17" s="23" t="str">
        <f>IF(T17=0,"",IF(D17="","No end",YEAR(D17)))</f>
        <v/>
      </c>
      <c r="AM17" s="24">
        <f>IF(OR(AK17="",X17=""),0,AK17*Y17)</f>
        <v>0</v>
      </c>
      <c r="AN17" s="26">
        <f>IF(OR(AK17="",X17=""),0,Y17)</f>
        <v>0</v>
      </c>
      <c r="AO17" s="24">
        <f>IF(AK17="",0,AK17*W17)</f>
        <v>0</v>
      </c>
      <c r="AP17" s="24">
        <f>IF(AK17="",0,W17)</f>
        <v>0</v>
      </c>
      <c r="AQ17" s="15" t="str">
        <f>IF(T17=1,COUNTIF($T$5:T17,1),"")</f>
        <v/>
      </c>
      <c r="AR17" s="36" t="str">
        <f>IF(X17="","",Y17+AQ17/1000000)</f>
        <v/>
      </c>
      <c r="AS17" s="15">
        <f>IF(A17="",0,IF(COUNTIF($A$5:$A$34,A17)&gt;1,1,0))</f>
        <v>0</v>
      </c>
      <c r="AT17" s="15">
        <f>IF(A17="",0,IF(OR(NOT(ISNUMBER(C17)),AND(D17&lt;&gt;"",NOT(ISNUMBER(D17))),AND(E17&lt;&gt;"",NOT(ISNUMBER(E17))),AND(F17&lt;&gt;"",NOT(ISNUMBER(F17))),AND(G17&lt;&gt;"",NOT(ISNUMBER(G17))),AND(H17&lt;&gt;"",NOT(ISNUMBER(H17))),AND(J17&lt;&gt;"",NOT(ISNUMBER(J17))),AND(K17&lt;&gt;"",NOT(ISNUMBER(K17))),AND(L17&lt;&gt;"",NOT(ISNUMBER(L17))),AND(M17&lt;&gt;"",NOT(ISNUMBER(M17))),AND(N17&lt;&gt;"",NOT(ISNUMBER(N17))),AND(O17&lt;&gt;"",NOT(ISNUMBER(O17))),AND(P17&lt;&gt;"",NOT(ISNUMBER(P17))),AND(Q17&lt;&gt;"",NOT(ISNUMBER(Q17))),AND(I17&lt;&gt;"",I17&lt;&gt;"Y",I17&lt;&gt;"N"),AND(D17&lt;&gt;"",D17&lt;C17),AND(E17&lt;&gt;"",E17&lt;C17),AND(K17&lt;&gt;"",L17&lt;&gt;"",L17&lt;K17),AND(J17&lt;&gt;"",OR(J17&lt;0,J17&gt;1)),AND(J17&lt;&gt;"",J17&gt;0,L17=""),AND(G17&lt;&gt;"",H17=""),AND(I17&lt;&gt;"Y",F17="")),1,0))</f>
        <v>0</v>
      </c>
      <c r="AU17" s="15">
        <f>IF(AND(A17&lt;&gt;"",U17=0),1,0)</f>
        <v>0</v>
      </c>
    </row>
    <row r="18">
      <c r="A18" s="7" t="n"/>
      <c r="B18" s="7" t="n"/>
      <c r="C18" s="9" t="n"/>
      <c r="D18" s="9" t="n"/>
      <c r="E18" s="9" t="n"/>
      <c r="F18" s="34" t="n"/>
      <c r="G18" s="9" t="n"/>
      <c r="H18" s="34" t="n"/>
      <c r="I18" s="7" t="n"/>
      <c r="J18" s="35" t="n"/>
      <c r="K18" s="9" t="n"/>
      <c r="L18" s="9" t="n"/>
      <c r="M18" s="34" t="n"/>
      <c r="N18" s="34" t="n"/>
      <c r="O18" s="34" t="n"/>
      <c r="P18" s="9" t="n"/>
      <c r="Q18" s="34" t="n"/>
      <c r="R18" s="7" t="n"/>
      <c r="S18" s="15" t="str">
        <f>IF(A18="","",IF(C18="","Start date missing",IF(C18&gt;'Rent roll'!$B$4,"Not started",IF(AND(D18&lt;&gt;"",D18&lt;'Rent roll'!$B$4),"Ended","In force"))))</f>
        <v/>
      </c>
      <c r="T18" s="15">
        <f>IF(S18="In force",1,0)</f>
        <v>0</v>
      </c>
      <c r="U18" s="15">
        <f>IF(A18="",0,COUNTIF(Units!$C$5:$C$54,A18))</f>
        <v>0</v>
      </c>
      <c r="V18" s="15" t="str">
        <f>IF(U18=0,"",IFERROR(""&amp;INDEX(Units!$A$5:$A$54,MATCH(A18&amp;"|1",Units!$K$5:$K$54,0)),"")&amp;IF(U18&gt;=2,", "&amp;IFERROR(""&amp;INDEX(Units!$A$5:$A$54,MATCH(A18&amp;"|2",Units!$K$5:$K$54,0)),""),"")&amp;IF(U18&gt;=3,", "&amp;IFERROR(""&amp;INDEX(Units!$A$5:$A$54,MATCH(A18&amp;"|3",Units!$K$5:$K$54,0)),""),"")&amp;IF(U18&gt;3,", +"&amp;(U18-3)&amp;" more",""))</f>
        <v/>
      </c>
      <c r="W18" s="24">
        <f>IF(A18="",0,SUMIFS(Units!$B$5:$B$54,Units!$C$5:$C$54,A18))</f>
        <v>0</v>
      </c>
      <c r="X18" s="26" t="str">
        <f>IF(OR(T18=0,I18="Y"),"",IF(AND(G18&lt;&gt;"",'Rent roll'!$B$4&gt;=G18),H18,F18)*1)</f>
        <v/>
      </c>
      <c r="Y18" s="26" t="str">
        <f>IF(X18="","",X18*12)</f>
        <v/>
      </c>
      <c r="Z18" s="26" t="str">
        <f>IF(OR(X18="",W18&lt;=0),"",ROUND(X18*12/W18,2))</f>
        <v/>
      </c>
      <c r="AA18" s="31" t="str">
        <f>IF(OR(T18=0,G18="",'Rent roll'!$B$4&gt;=G18,AND(D18&lt;&gt;"",G18&gt;D18)),"",G18)</f>
        <v/>
      </c>
      <c r="AB18" s="26" t="str">
        <f>IF(OR(AA18="",H18=""),"",H18)</f>
        <v/>
      </c>
      <c r="AC18" s="15">
        <f>IF(AND(T18=1,E18&lt;&gt;"",E18&gt;'Rent roll'!$B$4),1,0)</f>
        <v>0</v>
      </c>
      <c r="AD18" s="15">
        <f>IF(AND(T18=1,J18&lt;&gt;"",J18&gt;0,L18&lt;&gt;"",OR(K18="",K18&lt;='Rent roll'!$B$4),'Rent roll'!$B$4&lt;=L18),1,0)</f>
        <v>0</v>
      </c>
      <c r="AE18" s="26">
        <f>IF(X18="",0,IF(AC18=1,X18,IF(AD18=1,ROUND(X18*J18,2),0)))</f>
        <v>0</v>
      </c>
      <c r="AF18" s="26">
        <f>IF(T18=0,0,N18+IF(AND(O18&lt;&gt;"",O18&gt;0,OR(P18="",P18&gt;='Rent roll'!$B$4)),O18,0))</f>
        <v>0</v>
      </c>
      <c r="AG18" s="15">
        <f>IF(AND(T18=1,O18&lt;&gt;"",O18&gt;0,P18&lt;&gt;"",P18&lt;'Rent roll'!$B$4),1,0)</f>
        <v>0</v>
      </c>
      <c r="AH18" s="26" t="str">
        <f>IF(T18=1,IF(Q18="",0,Q18),"")</f>
        <v/>
      </c>
      <c r="AI18" s="15">
        <f>IF(X18="",0,1)</f>
        <v>0</v>
      </c>
      <c r="AJ18" s="15">
        <f>IF(AND(T18=1,I18="Y"),1,0)</f>
        <v>0</v>
      </c>
      <c r="AK18" s="23" t="str">
        <f>IF(OR(T18=0,D18=""),"",D18-'Rent roll'!$B$4)</f>
        <v/>
      </c>
      <c r="AL18" s="23" t="str">
        <f>IF(T18=0,"",IF(D18="","No end",YEAR(D18)))</f>
        <v/>
      </c>
      <c r="AM18" s="24">
        <f>IF(OR(AK18="",X18=""),0,AK18*Y18)</f>
        <v>0</v>
      </c>
      <c r="AN18" s="26">
        <f>IF(OR(AK18="",X18=""),0,Y18)</f>
        <v>0</v>
      </c>
      <c r="AO18" s="24">
        <f>IF(AK18="",0,AK18*W18)</f>
        <v>0</v>
      </c>
      <c r="AP18" s="24">
        <f>IF(AK18="",0,W18)</f>
        <v>0</v>
      </c>
      <c r="AQ18" s="15" t="str">
        <f>IF(T18=1,COUNTIF($T$5:T18,1),"")</f>
        <v/>
      </c>
      <c r="AR18" s="36" t="str">
        <f>IF(X18="","",Y18+AQ18/1000000)</f>
        <v/>
      </c>
      <c r="AS18" s="15">
        <f>IF(A18="",0,IF(COUNTIF($A$5:$A$34,A18)&gt;1,1,0))</f>
        <v>0</v>
      </c>
      <c r="AT18" s="15">
        <f>IF(A18="",0,IF(OR(NOT(ISNUMBER(C18)),AND(D18&lt;&gt;"",NOT(ISNUMBER(D18))),AND(E18&lt;&gt;"",NOT(ISNUMBER(E18))),AND(F18&lt;&gt;"",NOT(ISNUMBER(F18))),AND(G18&lt;&gt;"",NOT(ISNUMBER(G18))),AND(H18&lt;&gt;"",NOT(ISNUMBER(H18))),AND(J18&lt;&gt;"",NOT(ISNUMBER(J18))),AND(K18&lt;&gt;"",NOT(ISNUMBER(K18))),AND(L18&lt;&gt;"",NOT(ISNUMBER(L18))),AND(M18&lt;&gt;"",NOT(ISNUMBER(M18))),AND(N18&lt;&gt;"",NOT(ISNUMBER(N18))),AND(O18&lt;&gt;"",NOT(ISNUMBER(O18))),AND(P18&lt;&gt;"",NOT(ISNUMBER(P18))),AND(Q18&lt;&gt;"",NOT(ISNUMBER(Q18))),AND(I18&lt;&gt;"",I18&lt;&gt;"Y",I18&lt;&gt;"N"),AND(D18&lt;&gt;"",D18&lt;C18),AND(E18&lt;&gt;"",E18&lt;C18),AND(K18&lt;&gt;"",L18&lt;&gt;"",L18&lt;K18),AND(J18&lt;&gt;"",OR(J18&lt;0,J18&gt;1)),AND(J18&lt;&gt;"",J18&gt;0,L18=""),AND(G18&lt;&gt;"",H18=""),AND(I18&lt;&gt;"Y",F18="")),1,0))</f>
        <v>0</v>
      </c>
      <c r="AU18" s="15">
        <f>IF(AND(A18&lt;&gt;"",U18=0),1,0)</f>
        <v>0</v>
      </c>
    </row>
    <row r="19">
      <c r="A19" s="7" t="n"/>
      <c r="B19" s="7" t="n"/>
      <c r="C19" s="9" t="n"/>
      <c r="D19" s="9" t="n"/>
      <c r="E19" s="9" t="n"/>
      <c r="F19" s="34" t="n"/>
      <c r="G19" s="9" t="n"/>
      <c r="H19" s="34" t="n"/>
      <c r="I19" s="7" t="n"/>
      <c r="J19" s="35" t="n"/>
      <c r="K19" s="9" t="n"/>
      <c r="L19" s="9" t="n"/>
      <c r="M19" s="34" t="n"/>
      <c r="N19" s="34" t="n"/>
      <c r="O19" s="34" t="n"/>
      <c r="P19" s="9" t="n"/>
      <c r="Q19" s="34" t="n"/>
      <c r="R19" s="7" t="n"/>
      <c r="S19" s="15" t="str">
        <f>IF(A19="","",IF(C19="","Start date missing",IF(C19&gt;'Rent roll'!$B$4,"Not started",IF(AND(D19&lt;&gt;"",D19&lt;'Rent roll'!$B$4),"Ended","In force"))))</f>
        <v/>
      </c>
      <c r="T19" s="15">
        <f>IF(S19="In force",1,0)</f>
        <v>0</v>
      </c>
      <c r="U19" s="15">
        <f>IF(A19="",0,COUNTIF(Units!$C$5:$C$54,A19))</f>
        <v>0</v>
      </c>
      <c r="V19" s="15" t="str">
        <f>IF(U19=0,"",IFERROR(""&amp;INDEX(Units!$A$5:$A$54,MATCH(A19&amp;"|1",Units!$K$5:$K$54,0)),"")&amp;IF(U19&gt;=2,", "&amp;IFERROR(""&amp;INDEX(Units!$A$5:$A$54,MATCH(A19&amp;"|2",Units!$K$5:$K$54,0)),""),"")&amp;IF(U19&gt;=3,", "&amp;IFERROR(""&amp;INDEX(Units!$A$5:$A$54,MATCH(A19&amp;"|3",Units!$K$5:$K$54,0)),""),"")&amp;IF(U19&gt;3,", +"&amp;(U19-3)&amp;" more",""))</f>
        <v/>
      </c>
      <c r="W19" s="24">
        <f>IF(A19="",0,SUMIFS(Units!$B$5:$B$54,Units!$C$5:$C$54,A19))</f>
        <v>0</v>
      </c>
      <c r="X19" s="26" t="str">
        <f>IF(OR(T19=0,I19="Y"),"",IF(AND(G19&lt;&gt;"",'Rent roll'!$B$4&gt;=G19),H19,F19)*1)</f>
        <v/>
      </c>
      <c r="Y19" s="26" t="str">
        <f>IF(X19="","",X19*12)</f>
        <v/>
      </c>
      <c r="Z19" s="26" t="str">
        <f>IF(OR(X19="",W19&lt;=0),"",ROUND(X19*12/W19,2))</f>
        <v/>
      </c>
      <c r="AA19" s="31" t="str">
        <f>IF(OR(T19=0,G19="",'Rent roll'!$B$4&gt;=G19,AND(D19&lt;&gt;"",G19&gt;D19)),"",G19)</f>
        <v/>
      </c>
      <c r="AB19" s="26" t="str">
        <f>IF(OR(AA19="",H19=""),"",H19)</f>
        <v/>
      </c>
      <c r="AC19" s="15">
        <f>IF(AND(T19=1,E19&lt;&gt;"",E19&gt;'Rent roll'!$B$4),1,0)</f>
        <v>0</v>
      </c>
      <c r="AD19" s="15">
        <f>IF(AND(T19=1,J19&lt;&gt;"",J19&gt;0,L19&lt;&gt;"",OR(K19="",K19&lt;='Rent roll'!$B$4),'Rent roll'!$B$4&lt;=L19),1,0)</f>
        <v>0</v>
      </c>
      <c r="AE19" s="26">
        <f>IF(X19="",0,IF(AC19=1,X19,IF(AD19=1,ROUND(X19*J19,2),0)))</f>
        <v>0</v>
      </c>
      <c r="AF19" s="26">
        <f>IF(T19=0,0,N19+IF(AND(O19&lt;&gt;"",O19&gt;0,OR(P19="",P19&gt;='Rent roll'!$B$4)),O19,0))</f>
        <v>0</v>
      </c>
      <c r="AG19" s="15">
        <f>IF(AND(T19=1,O19&lt;&gt;"",O19&gt;0,P19&lt;&gt;"",P19&lt;'Rent roll'!$B$4),1,0)</f>
        <v>0</v>
      </c>
      <c r="AH19" s="26" t="str">
        <f>IF(T19=1,IF(Q19="",0,Q19),"")</f>
        <v/>
      </c>
      <c r="AI19" s="15">
        <f>IF(X19="",0,1)</f>
        <v>0</v>
      </c>
      <c r="AJ19" s="15">
        <f>IF(AND(T19=1,I19="Y"),1,0)</f>
        <v>0</v>
      </c>
      <c r="AK19" s="23" t="str">
        <f>IF(OR(T19=0,D19=""),"",D19-'Rent roll'!$B$4)</f>
        <v/>
      </c>
      <c r="AL19" s="23" t="str">
        <f>IF(T19=0,"",IF(D19="","No end",YEAR(D19)))</f>
        <v/>
      </c>
      <c r="AM19" s="24">
        <f>IF(OR(AK19="",X19=""),0,AK19*Y19)</f>
        <v>0</v>
      </c>
      <c r="AN19" s="26">
        <f>IF(OR(AK19="",X19=""),0,Y19)</f>
        <v>0</v>
      </c>
      <c r="AO19" s="24">
        <f>IF(AK19="",0,AK19*W19)</f>
        <v>0</v>
      </c>
      <c r="AP19" s="24">
        <f>IF(AK19="",0,W19)</f>
        <v>0</v>
      </c>
      <c r="AQ19" s="15" t="str">
        <f>IF(T19=1,COUNTIF($T$5:T19,1),"")</f>
        <v/>
      </c>
      <c r="AR19" s="36" t="str">
        <f>IF(X19="","",Y19+AQ19/1000000)</f>
        <v/>
      </c>
      <c r="AS19" s="15">
        <f>IF(A19="",0,IF(COUNTIF($A$5:$A$34,A19)&gt;1,1,0))</f>
        <v>0</v>
      </c>
      <c r="AT19" s="15">
        <f>IF(A19="",0,IF(OR(NOT(ISNUMBER(C19)),AND(D19&lt;&gt;"",NOT(ISNUMBER(D19))),AND(E19&lt;&gt;"",NOT(ISNUMBER(E19))),AND(F19&lt;&gt;"",NOT(ISNUMBER(F19))),AND(G19&lt;&gt;"",NOT(ISNUMBER(G19))),AND(H19&lt;&gt;"",NOT(ISNUMBER(H19))),AND(J19&lt;&gt;"",NOT(ISNUMBER(J19))),AND(K19&lt;&gt;"",NOT(ISNUMBER(K19))),AND(L19&lt;&gt;"",NOT(ISNUMBER(L19))),AND(M19&lt;&gt;"",NOT(ISNUMBER(M19))),AND(N19&lt;&gt;"",NOT(ISNUMBER(N19))),AND(O19&lt;&gt;"",NOT(ISNUMBER(O19))),AND(P19&lt;&gt;"",NOT(ISNUMBER(P19))),AND(Q19&lt;&gt;"",NOT(ISNUMBER(Q19))),AND(I19&lt;&gt;"",I19&lt;&gt;"Y",I19&lt;&gt;"N"),AND(D19&lt;&gt;"",D19&lt;C19),AND(E19&lt;&gt;"",E19&lt;C19),AND(K19&lt;&gt;"",L19&lt;&gt;"",L19&lt;K19),AND(J19&lt;&gt;"",OR(J19&lt;0,J19&gt;1)),AND(J19&lt;&gt;"",J19&gt;0,L19=""),AND(G19&lt;&gt;"",H19=""),AND(I19&lt;&gt;"Y",F19="")),1,0))</f>
        <v>0</v>
      </c>
      <c r="AU19" s="15">
        <f>IF(AND(A19&lt;&gt;"",U19=0),1,0)</f>
        <v>0</v>
      </c>
    </row>
    <row r="20">
      <c r="A20" s="7" t="n"/>
      <c r="B20" s="7" t="n"/>
      <c r="C20" s="9" t="n"/>
      <c r="D20" s="9" t="n"/>
      <c r="E20" s="9" t="n"/>
      <c r="F20" s="34" t="n"/>
      <c r="G20" s="9" t="n"/>
      <c r="H20" s="34" t="n"/>
      <c r="I20" s="7" t="n"/>
      <c r="J20" s="35" t="n"/>
      <c r="K20" s="9" t="n"/>
      <c r="L20" s="9" t="n"/>
      <c r="M20" s="34" t="n"/>
      <c r="N20" s="34" t="n"/>
      <c r="O20" s="34" t="n"/>
      <c r="P20" s="9" t="n"/>
      <c r="Q20" s="34" t="n"/>
      <c r="R20" s="7" t="n"/>
      <c r="S20" s="15" t="str">
        <f>IF(A20="","",IF(C20="","Start date missing",IF(C20&gt;'Rent roll'!$B$4,"Not started",IF(AND(D20&lt;&gt;"",D20&lt;'Rent roll'!$B$4),"Ended","In force"))))</f>
        <v/>
      </c>
      <c r="T20" s="15">
        <f>IF(S20="In force",1,0)</f>
        <v>0</v>
      </c>
      <c r="U20" s="15">
        <f>IF(A20="",0,COUNTIF(Units!$C$5:$C$54,A20))</f>
        <v>0</v>
      </c>
      <c r="V20" s="15" t="str">
        <f>IF(U20=0,"",IFERROR(""&amp;INDEX(Units!$A$5:$A$54,MATCH(A20&amp;"|1",Units!$K$5:$K$54,0)),"")&amp;IF(U20&gt;=2,", "&amp;IFERROR(""&amp;INDEX(Units!$A$5:$A$54,MATCH(A20&amp;"|2",Units!$K$5:$K$54,0)),""),"")&amp;IF(U20&gt;=3,", "&amp;IFERROR(""&amp;INDEX(Units!$A$5:$A$54,MATCH(A20&amp;"|3",Units!$K$5:$K$54,0)),""),"")&amp;IF(U20&gt;3,", +"&amp;(U20-3)&amp;" more",""))</f>
        <v/>
      </c>
      <c r="W20" s="24">
        <f>IF(A20="",0,SUMIFS(Units!$B$5:$B$54,Units!$C$5:$C$54,A20))</f>
        <v>0</v>
      </c>
      <c r="X20" s="26" t="str">
        <f>IF(OR(T20=0,I20="Y"),"",IF(AND(G20&lt;&gt;"",'Rent roll'!$B$4&gt;=G20),H20,F20)*1)</f>
        <v/>
      </c>
      <c r="Y20" s="26" t="str">
        <f>IF(X20="","",X20*12)</f>
        <v/>
      </c>
      <c r="Z20" s="26" t="str">
        <f>IF(OR(X20="",W20&lt;=0),"",ROUND(X20*12/W20,2))</f>
        <v/>
      </c>
      <c r="AA20" s="31" t="str">
        <f>IF(OR(T20=0,G20="",'Rent roll'!$B$4&gt;=G20,AND(D20&lt;&gt;"",G20&gt;D20)),"",G20)</f>
        <v/>
      </c>
      <c r="AB20" s="26" t="str">
        <f>IF(OR(AA20="",H20=""),"",H20)</f>
        <v/>
      </c>
      <c r="AC20" s="15">
        <f>IF(AND(T20=1,E20&lt;&gt;"",E20&gt;'Rent roll'!$B$4),1,0)</f>
        <v>0</v>
      </c>
      <c r="AD20" s="15">
        <f>IF(AND(T20=1,J20&lt;&gt;"",J20&gt;0,L20&lt;&gt;"",OR(K20="",K20&lt;='Rent roll'!$B$4),'Rent roll'!$B$4&lt;=L20),1,0)</f>
        <v>0</v>
      </c>
      <c r="AE20" s="26">
        <f>IF(X20="",0,IF(AC20=1,X20,IF(AD20=1,ROUND(X20*J20,2),0)))</f>
        <v>0</v>
      </c>
      <c r="AF20" s="26">
        <f>IF(T20=0,0,N20+IF(AND(O20&lt;&gt;"",O20&gt;0,OR(P20="",P20&gt;='Rent roll'!$B$4)),O20,0))</f>
        <v>0</v>
      </c>
      <c r="AG20" s="15">
        <f>IF(AND(T20=1,O20&lt;&gt;"",O20&gt;0,P20&lt;&gt;"",P20&lt;'Rent roll'!$B$4),1,0)</f>
        <v>0</v>
      </c>
      <c r="AH20" s="26" t="str">
        <f>IF(T20=1,IF(Q20="",0,Q20),"")</f>
        <v/>
      </c>
      <c r="AI20" s="15">
        <f>IF(X20="",0,1)</f>
        <v>0</v>
      </c>
      <c r="AJ20" s="15">
        <f>IF(AND(T20=1,I20="Y"),1,0)</f>
        <v>0</v>
      </c>
      <c r="AK20" s="23" t="str">
        <f>IF(OR(T20=0,D20=""),"",D20-'Rent roll'!$B$4)</f>
        <v/>
      </c>
      <c r="AL20" s="23" t="str">
        <f>IF(T20=0,"",IF(D20="","No end",YEAR(D20)))</f>
        <v/>
      </c>
      <c r="AM20" s="24">
        <f>IF(OR(AK20="",X20=""),0,AK20*Y20)</f>
        <v>0</v>
      </c>
      <c r="AN20" s="26">
        <f>IF(OR(AK20="",X20=""),0,Y20)</f>
        <v>0</v>
      </c>
      <c r="AO20" s="24">
        <f>IF(AK20="",0,AK20*W20)</f>
        <v>0</v>
      </c>
      <c r="AP20" s="24">
        <f>IF(AK20="",0,W20)</f>
        <v>0</v>
      </c>
      <c r="AQ20" s="15" t="str">
        <f>IF(T20=1,COUNTIF($T$5:T20,1),"")</f>
        <v/>
      </c>
      <c r="AR20" s="36" t="str">
        <f>IF(X20="","",Y20+AQ20/1000000)</f>
        <v/>
      </c>
      <c r="AS20" s="15">
        <f>IF(A20="",0,IF(COUNTIF($A$5:$A$34,A20)&gt;1,1,0))</f>
        <v>0</v>
      </c>
      <c r="AT20" s="15">
        <f>IF(A20="",0,IF(OR(NOT(ISNUMBER(C20)),AND(D20&lt;&gt;"",NOT(ISNUMBER(D20))),AND(E20&lt;&gt;"",NOT(ISNUMBER(E20))),AND(F20&lt;&gt;"",NOT(ISNUMBER(F20))),AND(G20&lt;&gt;"",NOT(ISNUMBER(G20))),AND(H20&lt;&gt;"",NOT(ISNUMBER(H20))),AND(J20&lt;&gt;"",NOT(ISNUMBER(J20))),AND(K20&lt;&gt;"",NOT(ISNUMBER(K20))),AND(L20&lt;&gt;"",NOT(ISNUMBER(L20))),AND(M20&lt;&gt;"",NOT(ISNUMBER(M20))),AND(N20&lt;&gt;"",NOT(ISNUMBER(N20))),AND(O20&lt;&gt;"",NOT(ISNUMBER(O20))),AND(P20&lt;&gt;"",NOT(ISNUMBER(P20))),AND(Q20&lt;&gt;"",NOT(ISNUMBER(Q20))),AND(I20&lt;&gt;"",I20&lt;&gt;"Y",I20&lt;&gt;"N"),AND(D20&lt;&gt;"",D20&lt;C20),AND(E20&lt;&gt;"",E20&lt;C20),AND(K20&lt;&gt;"",L20&lt;&gt;"",L20&lt;K20),AND(J20&lt;&gt;"",OR(J20&lt;0,J20&gt;1)),AND(J20&lt;&gt;"",J20&gt;0,L20=""),AND(G20&lt;&gt;"",H20=""),AND(I20&lt;&gt;"Y",F20="")),1,0))</f>
        <v>0</v>
      </c>
      <c r="AU20" s="15">
        <f>IF(AND(A20&lt;&gt;"",U20=0),1,0)</f>
        <v>0</v>
      </c>
    </row>
    <row r="21">
      <c r="A21" s="7" t="n"/>
      <c r="B21" s="7" t="n"/>
      <c r="C21" s="9" t="n"/>
      <c r="D21" s="9" t="n"/>
      <c r="E21" s="9" t="n"/>
      <c r="F21" s="34" t="n"/>
      <c r="G21" s="9" t="n"/>
      <c r="H21" s="34" t="n"/>
      <c r="I21" s="7" t="n"/>
      <c r="J21" s="35" t="n"/>
      <c r="K21" s="9" t="n"/>
      <c r="L21" s="9" t="n"/>
      <c r="M21" s="34" t="n"/>
      <c r="N21" s="34" t="n"/>
      <c r="O21" s="34" t="n"/>
      <c r="P21" s="9" t="n"/>
      <c r="Q21" s="34" t="n"/>
      <c r="R21" s="7" t="n"/>
      <c r="S21" s="15" t="str">
        <f>IF(A21="","",IF(C21="","Start date missing",IF(C21&gt;'Rent roll'!$B$4,"Not started",IF(AND(D21&lt;&gt;"",D21&lt;'Rent roll'!$B$4),"Ended","In force"))))</f>
        <v/>
      </c>
      <c r="T21" s="15">
        <f>IF(S21="In force",1,0)</f>
        <v>0</v>
      </c>
      <c r="U21" s="15">
        <f>IF(A21="",0,COUNTIF(Units!$C$5:$C$54,A21))</f>
        <v>0</v>
      </c>
      <c r="V21" s="15" t="str">
        <f>IF(U21=0,"",IFERROR(""&amp;INDEX(Units!$A$5:$A$54,MATCH(A21&amp;"|1",Units!$K$5:$K$54,0)),"")&amp;IF(U21&gt;=2,", "&amp;IFERROR(""&amp;INDEX(Units!$A$5:$A$54,MATCH(A21&amp;"|2",Units!$K$5:$K$54,0)),""),"")&amp;IF(U21&gt;=3,", "&amp;IFERROR(""&amp;INDEX(Units!$A$5:$A$54,MATCH(A21&amp;"|3",Units!$K$5:$K$54,0)),""),"")&amp;IF(U21&gt;3,", +"&amp;(U21-3)&amp;" more",""))</f>
        <v/>
      </c>
      <c r="W21" s="24">
        <f>IF(A21="",0,SUMIFS(Units!$B$5:$B$54,Units!$C$5:$C$54,A21))</f>
        <v>0</v>
      </c>
      <c r="X21" s="26" t="str">
        <f>IF(OR(T21=0,I21="Y"),"",IF(AND(G21&lt;&gt;"",'Rent roll'!$B$4&gt;=G21),H21,F21)*1)</f>
        <v/>
      </c>
      <c r="Y21" s="26" t="str">
        <f>IF(X21="","",X21*12)</f>
        <v/>
      </c>
      <c r="Z21" s="26" t="str">
        <f>IF(OR(X21="",W21&lt;=0),"",ROUND(X21*12/W21,2))</f>
        <v/>
      </c>
      <c r="AA21" s="31" t="str">
        <f>IF(OR(T21=0,G21="",'Rent roll'!$B$4&gt;=G21,AND(D21&lt;&gt;"",G21&gt;D21)),"",G21)</f>
        <v/>
      </c>
      <c r="AB21" s="26" t="str">
        <f>IF(OR(AA21="",H21=""),"",H21)</f>
        <v/>
      </c>
      <c r="AC21" s="15">
        <f>IF(AND(T21=1,E21&lt;&gt;"",E21&gt;'Rent roll'!$B$4),1,0)</f>
        <v>0</v>
      </c>
      <c r="AD21" s="15">
        <f>IF(AND(T21=1,J21&lt;&gt;"",J21&gt;0,L21&lt;&gt;"",OR(K21="",K21&lt;='Rent roll'!$B$4),'Rent roll'!$B$4&lt;=L21),1,0)</f>
        <v>0</v>
      </c>
      <c r="AE21" s="26">
        <f>IF(X21="",0,IF(AC21=1,X21,IF(AD21=1,ROUND(X21*J21,2),0)))</f>
        <v>0</v>
      </c>
      <c r="AF21" s="26">
        <f>IF(T21=0,0,N21+IF(AND(O21&lt;&gt;"",O21&gt;0,OR(P21="",P21&gt;='Rent roll'!$B$4)),O21,0))</f>
        <v>0</v>
      </c>
      <c r="AG21" s="15">
        <f>IF(AND(T21=1,O21&lt;&gt;"",O21&gt;0,P21&lt;&gt;"",P21&lt;'Rent roll'!$B$4),1,0)</f>
        <v>0</v>
      </c>
      <c r="AH21" s="26" t="str">
        <f>IF(T21=1,IF(Q21="",0,Q21),"")</f>
        <v/>
      </c>
      <c r="AI21" s="15">
        <f>IF(X21="",0,1)</f>
        <v>0</v>
      </c>
      <c r="AJ21" s="15">
        <f>IF(AND(T21=1,I21="Y"),1,0)</f>
        <v>0</v>
      </c>
      <c r="AK21" s="23" t="str">
        <f>IF(OR(T21=0,D21=""),"",D21-'Rent roll'!$B$4)</f>
        <v/>
      </c>
      <c r="AL21" s="23" t="str">
        <f>IF(T21=0,"",IF(D21="","No end",YEAR(D21)))</f>
        <v/>
      </c>
      <c r="AM21" s="24">
        <f>IF(OR(AK21="",X21=""),0,AK21*Y21)</f>
        <v>0</v>
      </c>
      <c r="AN21" s="26">
        <f>IF(OR(AK21="",X21=""),0,Y21)</f>
        <v>0</v>
      </c>
      <c r="AO21" s="24">
        <f>IF(AK21="",0,AK21*W21)</f>
        <v>0</v>
      </c>
      <c r="AP21" s="24">
        <f>IF(AK21="",0,W21)</f>
        <v>0</v>
      </c>
      <c r="AQ21" s="15" t="str">
        <f>IF(T21=1,COUNTIF($T$5:T21,1),"")</f>
        <v/>
      </c>
      <c r="AR21" s="36" t="str">
        <f>IF(X21="","",Y21+AQ21/1000000)</f>
        <v/>
      </c>
      <c r="AS21" s="15">
        <f>IF(A21="",0,IF(COUNTIF($A$5:$A$34,A21)&gt;1,1,0))</f>
        <v>0</v>
      </c>
      <c r="AT21" s="15">
        <f>IF(A21="",0,IF(OR(NOT(ISNUMBER(C21)),AND(D21&lt;&gt;"",NOT(ISNUMBER(D21))),AND(E21&lt;&gt;"",NOT(ISNUMBER(E21))),AND(F21&lt;&gt;"",NOT(ISNUMBER(F21))),AND(G21&lt;&gt;"",NOT(ISNUMBER(G21))),AND(H21&lt;&gt;"",NOT(ISNUMBER(H21))),AND(J21&lt;&gt;"",NOT(ISNUMBER(J21))),AND(K21&lt;&gt;"",NOT(ISNUMBER(K21))),AND(L21&lt;&gt;"",NOT(ISNUMBER(L21))),AND(M21&lt;&gt;"",NOT(ISNUMBER(M21))),AND(N21&lt;&gt;"",NOT(ISNUMBER(N21))),AND(O21&lt;&gt;"",NOT(ISNUMBER(O21))),AND(P21&lt;&gt;"",NOT(ISNUMBER(P21))),AND(Q21&lt;&gt;"",NOT(ISNUMBER(Q21))),AND(I21&lt;&gt;"",I21&lt;&gt;"Y",I21&lt;&gt;"N"),AND(D21&lt;&gt;"",D21&lt;C21),AND(E21&lt;&gt;"",E21&lt;C21),AND(K21&lt;&gt;"",L21&lt;&gt;"",L21&lt;K21),AND(J21&lt;&gt;"",OR(J21&lt;0,J21&gt;1)),AND(J21&lt;&gt;"",J21&gt;0,L21=""),AND(G21&lt;&gt;"",H21=""),AND(I21&lt;&gt;"Y",F21="")),1,0))</f>
        <v>0</v>
      </c>
      <c r="AU21" s="15">
        <f>IF(AND(A21&lt;&gt;"",U21=0),1,0)</f>
        <v>0</v>
      </c>
    </row>
    <row r="22">
      <c r="A22" s="7" t="n"/>
      <c r="B22" s="7" t="n"/>
      <c r="C22" s="9" t="n"/>
      <c r="D22" s="9" t="n"/>
      <c r="E22" s="9" t="n"/>
      <c r="F22" s="34" t="n"/>
      <c r="G22" s="9" t="n"/>
      <c r="H22" s="34" t="n"/>
      <c r="I22" s="7" t="n"/>
      <c r="J22" s="35" t="n"/>
      <c r="K22" s="9" t="n"/>
      <c r="L22" s="9" t="n"/>
      <c r="M22" s="34" t="n"/>
      <c r="N22" s="34" t="n"/>
      <c r="O22" s="34" t="n"/>
      <c r="P22" s="9" t="n"/>
      <c r="Q22" s="34" t="n"/>
      <c r="R22" s="7" t="n"/>
      <c r="S22" s="15" t="str">
        <f>IF(A22="","",IF(C22="","Start date missing",IF(C22&gt;'Rent roll'!$B$4,"Not started",IF(AND(D22&lt;&gt;"",D22&lt;'Rent roll'!$B$4),"Ended","In force"))))</f>
        <v/>
      </c>
      <c r="T22" s="15">
        <f>IF(S22="In force",1,0)</f>
        <v>0</v>
      </c>
      <c r="U22" s="15">
        <f>IF(A22="",0,COUNTIF(Units!$C$5:$C$54,A22))</f>
        <v>0</v>
      </c>
      <c r="V22" s="15" t="str">
        <f>IF(U22=0,"",IFERROR(""&amp;INDEX(Units!$A$5:$A$54,MATCH(A22&amp;"|1",Units!$K$5:$K$54,0)),"")&amp;IF(U22&gt;=2,", "&amp;IFERROR(""&amp;INDEX(Units!$A$5:$A$54,MATCH(A22&amp;"|2",Units!$K$5:$K$54,0)),""),"")&amp;IF(U22&gt;=3,", "&amp;IFERROR(""&amp;INDEX(Units!$A$5:$A$54,MATCH(A22&amp;"|3",Units!$K$5:$K$54,0)),""),"")&amp;IF(U22&gt;3,", +"&amp;(U22-3)&amp;" more",""))</f>
        <v/>
      </c>
      <c r="W22" s="24">
        <f>IF(A22="",0,SUMIFS(Units!$B$5:$B$54,Units!$C$5:$C$54,A22))</f>
        <v>0</v>
      </c>
      <c r="X22" s="26" t="str">
        <f>IF(OR(T22=0,I22="Y"),"",IF(AND(G22&lt;&gt;"",'Rent roll'!$B$4&gt;=G22),H22,F22)*1)</f>
        <v/>
      </c>
      <c r="Y22" s="26" t="str">
        <f>IF(X22="","",X22*12)</f>
        <v/>
      </c>
      <c r="Z22" s="26" t="str">
        <f>IF(OR(X22="",W22&lt;=0),"",ROUND(X22*12/W22,2))</f>
        <v/>
      </c>
      <c r="AA22" s="31" t="str">
        <f>IF(OR(T22=0,G22="",'Rent roll'!$B$4&gt;=G22,AND(D22&lt;&gt;"",G22&gt;D22)),"",G22)</f>
        <v/>
      </c>
      <c r="AB22" s="26" t="str">
        <f>IF(OR(AA22="",H22=""),"",H22)</f>
        <v/>
      </c>
      <c r="AC22" s="15">
        <f>IF(AND(T22=1,E22&lt;&gt;"",E22&gt;'Rent roll'!$B$4),1,0)</f>
        <v>0</v>
      </c>
      <c r="AD22" s="15">
        <f>IF(AND(T22=1,J22&lt;&gt;"",J22&gt;0,L22&lt;&gt;"",OR(K22="",K22&lt;='Rent roll'!$B$4),'Rent roll'!$B$4&lt;=L22),1,0)</f>
        <v>0</v>
      </c>
      <c r="AE22" s="26">
        <f>IF(X22="",0,IF(AC22=1,X22,IF(AD22=1,ROUND(X22*J22,2),0)))</f>
        <v>0</v>
      </c>
      <c r="AF22" s="26">
        <f>IF(T22=0,0,N22+IF(AND(O22&lt;&gt;"",O22&gt;0,OR(P22="",P22&gt;='Rent roll'!$B$4)),O22,0))</f>
        <v>0</v>
      </c>
      <c r="AG22" s="15">
        <f>IF(AND(T22=1,O22&lt;&gt;"",O22&gt;0,P22&lt;&gt;"",P22&lt;'Rent roll'!$B$4),1,0)</f>
        <v>0</v>
      </c>
      <c r="AH22" s="26" t="str">
        <f>IF(T22=1,IF(Q22="",0,Q22),"")</f>
        <v/>
      </c>
      <c r="AI22" s="15">
        <f>IF(X22="",0,1)</f>
        <v>0</v>
      </c>
      <c r="AJ22" s="15">
        <f>IF(AND(T22=1,I22="Y"),1,0)</f>
        <v>0</v>
      </c>
      <c r="AK22" s="23" t="str">
        <f>IF(OR(T22=0,D22=""),"",D22-'Rent roll'!$B$4)</f>
        <v/>
      </c>
      <c r="AL22" s="23" t="str">
        <f>IF(T22=0,"",IF(D22="","No end",YEAR(D22)))</f>
        <v/>
      </c>
      <c r="AM22" s="24">
        <f>IF(OR(AK22="",X22=""),0,AK22*Y22)</f>
        <v>0</v>
      </c>
      <c r="AN22" s="26">
        <f>IF(OR(AK22="",X22=""),0,Y22)</f>
        <v>0</v>
      </c>
      <c r="AO22" s="24">
        <f>IF(AK22="",0,AK22*W22)</f>
        <v>0</v>
      </c>
      <c r="AP22" s="24">
        <f>IF(AK22="",0,W22)</f>
        <v>0</v>
      </c>
      <c r="AQ22" s="15" t="str">
        <f>IF(T22=1,COUNTIF($T$5:T22,1),"")</f>
        <v/>
      </c>
      <c r="AR22" s="36" t="str">
        <f>IF(X22="","",Y22+AQ22/1000000)</f>
        <v/>
      </c>
      <c r="AS22" s="15">
        <f>IF(A22="",0,IF(COUNTIF($A$5:$A$34,A22)&gt;1,1,0))</f>
        <v>0</v>
      </c>
      <c r="AT22" s="15">
        <f>IF(A22="",0,IF(OR(NOT(ISNUMBER(C22)),AND(D22&lt;&gt;"",NOT(ISNUMBER(D22))),AND(E22&lt;&gt;"",NOT(ISNUMBER(E22))),AND(F22&lt;&gt;"",NOT(ISNUMBER(F22))),AND(G22&lt;&gt;"",NOT(ISNUMBER(G22))),AND(H22&lt;&gt;"",NOT(ISNUMBER(H22))),AND(J22&lt;&gt;"",NOT(ISNUMBER(J22))),AND(K22&lt;&gt;"",NOT(ISNUMBER(K22))),AND(L22&lt;&gt;"",NOT(ISNUMBER(L22))),AND(M22&lt;&gt;"",NOT(ISNUMBER(M22))),AND(N22&lt;&gt;"",NOT(ISNUMBER(N22))),AND(O22&lt;&gt;"",NOT(ISNUMBER(O22))),AND(P22&lt;&gt;"",NOT(ISNUMBER(P22))),AND(Q22&lt;&gt;"",NOT(ISNUMBER(Q22))),AND(I22&lt;&gt;"",I22&lt;&gt;"Y",I22&lt;&gt;"N"),AND(D22&lt;&gt;"",D22&lt;C22),AND(E22&lt;&gt;"",E22&lt;C22),AND(K22&lt;&gt;"",L22&lt;&gt;"",L22&lt;K22),AND(J22&lt;&gt;"",OR(J22&lt;0,J22&gt;1)),AND(J22&lt;&gt;"",J22&gt;0,L22=""),AND(G22&lt;&gt;"",H22=""),AND(I22&lt;&gt;"Y",F22="")),1,0))</f>
        <v>0</v>
      </c>
      <c r="AU22" s="15">
        <f>IF(AND(A22&lt;&gt;"",U22=0),1,0)</f>
        <v>0</v>
      </c>
    </row>
    <row r="23">
      <c r="A23" s="7" t="n"/>
      <c r="B23" s="7" t="n"/>
      <c r="C23" s="9" t="n"/>
      <c r="D23" s="9" t="n"/>
      <c r="E23" s="9" t="n"/>
      <c r="F23" s="34" t="n"/>
      <c r="G23" s="9" t="n"/>
      <c r="H23" s="34" t="n"/>
      <c r="I23" s="7" t="n"/>
      <c r="J23" s="35" t="n"/>
      <c r="K23" s="9" t="n"/>
      <c r="L23" s="9" t="n"/>
      <c r="M23" s="34" t="n"/>
      <c r="N23" s="34" t="n"/>
      <c r="O23" s="34" t="n"/>
      <c r="P23" s="9" t="n"/>
      <c r="Q23" s="34" t="n"/>
      <c r="R23" s="7" t="n"/>
      <c r="S23" s="15" t="str">
        <f>IF(A23="","",IF(C23="","Start date missing",IF(C23&gt;'Rent roll'!$B$4,"Not started",IF(AND(D23&lt;&gt;"",D23&lt;'Rent roll'!$B$4),"Ended","In force"))))</f>
        <v/>
      </c>
      <c r="T23" s="15">
        <f>IF(S23="In force",1,0)</f>
        <v>0</v>
      </c>
      <c r="U23" s="15">
        <f>IF(A23="",0,COUNTIF(Units!$C$5:$C$54,A23))</f>
        <v>0</v>
      </c>
      <c r="V23" s="15" t="str">
        <f>IF(U23=0,"",IFERROR(""&amp;INDEX(Units!$A$5:$A$54,MATCH(A23&amp;"|1",Units!$K$5:$K$54,0)),"")&amp;IF(U23&gt;=2,", "&amp;IFERROR(""&amp;INDEX(Units!$A$5:$A$54,MATCH(A23&amp;"|2",Units!$K$5:$K$54,0)),""),"")&amp;IF(U23&gt;=3,", "&amp;IFERROR(""&amp;INDEX(Units!$A$5:$A$54,MATCH(A23&amp;"|3",Units!$K$5:$K$54,0)),""),"")&amp;IF(U23&gt;3,", +"&amp;(U23-3)&amp;" more",""))</f>
        <v/>
      </c>
      <c r="W23" s="24">
        <f>IF(A23="",0,SUMIFS(Units!$B$5:$B$54,Units!$C$5:$C$54,A23))</f>
        <v>0</v>
      </c>
      <c r="X23" s="26" t="str">
        <f>IF(OR(T23=0,I23="Y"),"",IF(AND(G23&lt;&gt;"",'Rent roll'!$B$4&gt;=G23),H23,F23)*1)</f>
        <v/>
      </c>
      <c r="Y23" s="26" t="str">
        <f>IF(X23="","",X23*12)</f>
        <v/>
      </c>
      <c r="Z23" s="26" t="str">
        <f>IF(OR(X23="",W23&lt;=0),"",ROUND(X23*12/W23,2))</f>
        <v/>
      </c>
      <c r="AA23" s="31" t="str">
        <f>IF(OR(T23=0,G23="",'Rent roll'!$B$4&gt;=G23,AND(D23&lt;&gt;"",G23&gt;D23)),"",G23)</f>
        <v/>
      </c>
      <c r="AB23" s="26" t="str">
        <f>IF(OR(AA23="",H23=""),"",H23)</f>
        <v/>
      </c>
      <c r="AC23" s="15">
        <f>IF(AND(T23=1,E23&lt;&gt;"",E23&gt;'Rent roll'!$B$4),1,0)</f>
        <v>0</v>
      </c>
      <c r="AD23" s="15">
        <f>IF(AND(T23=1,J23&lt;&gt;"",J23&gt;0,L23&lt;&gt;"",OR(K23="",K23&lt;='Rent roll'!$B$4),'Rent roll'!$B$4&lt;=L23),1,0)</f>
        <v>0</v>
      </c>
      <c r="AE23" s="26">
        <f>IF(X23="",0,IF(AC23=1,X23,IF(AD23=1,ROUND(X23*J23,2),0)))</f>
        <v>0</v>
      </c>
      <c r="AF23" s="26">
        <f>IF(T23=0,0,N23+IF(AND(O23&lt;&gt;"",O23&gt;0,OR(P23="",P23&gt;='Rent roll'!$B$4)),O23,0))</f>
        <v>0</v>
      </c>
      <c r="AG23" s="15">
        <f>IF(AND(T23=1,O23&lt;&gt;"",O23&gt;0,P23&lt;&gt;"",P23&lt;'Rent roll'!$B$4),1,0)</f>
        <v>0</v>
      </c>
      <c r="AH23" s="26" t="str">
        <f>IF(T23=1,IF(Q23="",0,Q23),"")</f>
        <v/>
      </c>
      <c r="AI23" s="15">
        <f>IF(X23="",0,1)</f>
        <v>0</v>
      </c>
      <c r="AJ23" s="15">
        <f>IF(AND(T23=1,I23="Y"),1,0)</f>
        <v>0</v>
      </c>
      <c r="AK23" s="23" t="str">
        <f>IF(OR(T23=0,D23=""),"",D23-'Rent roll'!$B$4)</f>
        <v/>
      </c>
      <c r="AL23" s="23" t="str">
        <f>IF(T23=0,"",IF(D23="","No end",YEAR(D23)))</f>
        <v/>
      </c>
      <c r="AM23" s="24">
        <f>IF(OR(AK23="",X23=""),0,AK23*Y23)</f>
        <v>0</v>
      </c>
      <c r="AN23" s="26">
        <f>IF(OR(AK23="",X23=""),0,Y23)</f>
        <v>0</v>
      </c>
      <c r="AO23" s="24">
        <f>IF(AK23="",0,AK23*W23)</f>
        <v>0</v>
      </c>
      <c r="AP23" s="24">
        <f>IF(AK23="",0,W23)</f>
        <v>0</v>
      </c>
      <c r="AQ23" s="15" t="str">
        <f>IF(T23=1,COUNTIF($T$5:T23,1),"")</f>
        <v/>
      </c>
      <c r="AR23" s="36" t="str">
        <f>IF(X23="","",Y23+AQ23/1000000)</f>
        <v/>
      </c>
      <c r="AS23" s="15">
        <f>IF(A23="",0,IF(COUNTIF($A$5:$A$34,A23)&gt;1,1,0))</f>
        <v>0</v>
      </c>
      <c r="AT23" s="15">
        <f>IF(A23="",0,IF(OR(NOT(ISNUMBER(C23)),AND(D23&lt;&gt;"",NOT(ISNUMBER(D23))),AND(E23&lt;&gt;"",NOT(ISNUMBER(E23))),AND(F23&lt;&gt;"",NOT(ISNUMBER(F23))),AND(G23&lt;&gt;"",NOT(ISNUMBER(G23))),AND(H23&lt;&gt;"",NOT(ISNUMBER(H23))),AND(J23&lt;&gt;"",NOT(ISNUMBER(J23))),AND(K23&lt;&gt;"",NOT(ISNUMBER(K23))),AND(L23&lt;&gt;"",NOT(ISNUMBER(L23))),AND(M23&lt;&gt;"",NOT(ISNUMBER(M23))),AND(N23&lt;&gt;"",NOT(ISNUMBER(N23))),AND(O23&lt;&gt;"",NOT(ISNUMBER(O23))),AND(P23&lt;&gt;"",NOT(ISNUMBER(P23))),AND(Q23&lt;&gt;"",NOT(ISNUMBER(Q23))),AND(I23&lt;&gt;"",I23&lt;&gt;"Y",I23&lt;&gt;"N"),AND(D23&lt;&gt;"",D23&lt;C23),AND(E23&lt;&gt;"",E23&lt;C23),AND(K23&lt;&gt;"",L23&lt;&gt;"",L23&lt;K23),AND(J23&lt;&gt;"",OR(J23&lt;0,J23&gt;1)),AND(J23&lt;&gt;"",J23&gt;0,L23=""),AND(G23&lt;&gt;"",H23=""),AND(I23&lt;&gt;"Y",F23="")),1,0))</f>
        <v>0</v>
      </c>
      <c r="AU23" s="15">
        <f>IF(AND(A23&lt;&gt;"",U23=0),1,0)</f>
        <v>0</v>
      </c>
    </row>
    <row r="24">
      <c r="A24" s="7" t="n"/>
      <c r="B24" s="7" t="n"/>
      <c r="C24" s="9" t="n"/>
      <c r="D24" s="9" t="n"/>
      <c r="E24" s="9" t="n"/>
      <c r="F24" s="34" t="n"/>
      <c r="G24" s="9" t="n"/>
      <c r="H24" s="34" t="n"/>
      <c r="I24" s="7" t="n"/>
      <c r="J24" s="35" t="n"/>
      <c r="K24" s="9" t="n"/>
      <c r="L24" s="9" t="n"/>
      <c r="M24" s="34" t="n"/>
      <c r="N24" s="34" t="n"/>
      <c r="O24" s="34" t="n"/>
      <c r="P24" s="9" t="n"/>
      <c r="Q24" s="34" t="n"/>
      <c r="R24" s="7" t="n"/>
      <c r="S24" s="15" t="str">
        <f>IF(A24="","",IF(C24="","Start date missing",IF(C24&gt;'Rent roll'!$B$4,"Not started",IF(AND(D24&lt;&gt;"",D24&lt;'Rent roll'!$B$4),"Ended","In force"))))</f>
        <v/>
      </c>
      <c r="T24" s="15">
        <f>IF(S24="In force",1,0)</f>
        <v>0</v>
      </c>
      <c r="U24" s="15">
        <f>IF(A24="",0,COUNTIF(Units!$C$5:$C$54,A24))</f>
        <v>0</v>
      </c>
      <c r="V24" s="15" t="str">
        <f>IF(U24=0,"",IFERROR(""&amp;INDEX(Units!$A$5:$A$54,MATCH(A24&amp;"|1",Units!$K$5:$K$54,0)),"")&amp;IF(U24&gt;=2,", "&amp;IFERROR(""&amp;INDEX(Units!$A$5:$A$54,MATCH(A24&amp;"|2",Units!$K$5:$K$54,0)),""),"")&amp;IF(U24&gt;=3,", "&amp;IFERROR(""&amp;INDEX(Units!$A$5:$A$54,MATCH(A24&amp;"|3",Units!$K$5:$K$54,0)),""),"")&amp;IF(U24&gt;3,", +"&amp;(U24-3)&amp;" more",""))</f>
        <v/>
      </c>
      <c r="W24" s="24">
        <f>IF(A24="",0,SUMIFS(Units!$B$5:$B$54,Units!$C$5:$C$54,A24))</f>
        <v>0</v>
      </c>
      <c r="X24" s="26" t="str">
        <f>IF(OR(T24=0,I24="Y"),"",IF(AND(G24&lt;&gt;"",'Rent roll'!$B$4&gt;=G24),H24,F24)*1)</f>
        <v/>
      </c>
      <c r="Y24" s="26" t="str">
        <f>IF(X24="","",X24*12)</f>
        <v/>
      </c>
      <c r="Z24" s="26" t="str">
        <f>IF(OR(X24="",W24&lt;=0),"",ROUND(X24*12/W24,2))</f>
        <v/>
      </c>
      <c r="AA24" s="31" t="str">
        <f>IF(OR(T24=0,G24="",'Rent roll'!$B$4&gt;=G24,AND(D24&lt;&gt;"",G24&gt;D24)),"",G24)</f>
        <v/>
      </c>
      <c r="AB24" s="26" t="str">
        <f>IF(OR(AA24="",H24=""),"",H24)</f>
        <v/>
      </c>
      <c r="AC24" s="15">
        <f>IF(AND(T24=1,E24&lt;&gt;"",E24&gt;'Rent roll'!$B$4),1,0)</f>
        <v>0</v>
      </c>
      <c r="AD24" s="15">
        <f>IF(AND(T24=1,J24&lt;&gt;"",J24&gt;0,L24&lt;&gt;"",OR(K24="",K24&lt;='Rent roll'!$B$4),'Rent roll'!$B$4&lt;=L24),1,0)</f>
        <v>0</v>
      </c>
      <c r="AE24" s="26">
        <f>IF(X24="",0,IF(AC24=1,X24,IF(AD24=1,ROUND(X24*J24,2),0)))</f>
        <v>0</v>
      </c>
      <c r="AF24" s="26">
        <f>IF(T24=0,0,N24+IF(AND(O24&lt;&gt;"",O24&gt;0,OR(P24="",P24&gt;='Rent roll'!$B$4)),O24,0))</f>
        <v>0</v>
      </c>
      <c r="AG24" s="15">
        <f>IF(AND(T24=1,O24&lt;&gt;"",O24&gt;0,P24&lt;&gt;"",P24&lt;'Rent roll'!$B$4),1,0)</f>
        <v>0</v>
      </c>
      <c r="AH24" s="26" t="str">
        <f>IF(T24=1,IF(Q24="",0,Q24),"")</f>
        <v/>
      </c>
      <c r="AI24" s="15">
        <f>IF(X24="",0,1)</f>
        <v>0</v>
      </c>
      <c r="AJ24" s="15">
        <f>IF(AND(T24=1,I24="Y"),1,0)</f>
        <v>0</v>
      </c>
      <c r="AK24" s="23" t="str">
        <f>IF(OR(T24=0,D24=""),"",D24-'Rent roll'!$B$4)</f>
        <v/>
      </c>
      <c r="AL24" s="23" t="str">
        <f>IF(T24=0,"",IF(D24="","No end",YEAR(D24)))</f>
        <v/>
      </c>
      <c r="AM24" s="24">
        <f>IF(OR(AK24="",X24=""),0,AK24*Y24)</f>
        <v>0</v>
      </c>
      <c r="AN24" s="26">
        <f>IF(OR(AK24="",X24=""),0,Y24)</f>
        <v>0</v>
      </c>
      <c r="AO24" s="24">
        <f>IF(AK24="",0,AK24*W24)</f>
        <v>0</v>
      </c>
      <c r="AP24" s="24">
        <f>IF(AK24="",0,W24)</f>
        <v>0</v>
      </c>
      <c r="AQ24" s="15" t="str">
        <f>IF(T24=1,COUNTIF($T$5:T24,1),"")</f>
        <v/>
      </c>
      <c r="AR24" s="36" t="str">
        <f>IF(X24="","",Y24+AQ24/1000000)</f>
        <v/>
      </c>
      <c r="AS24" s="15">
        <f>IF(A24="",0,IF(COUNTIF($A$5:$A$34,A24)&gt;1,1,0))</f>
        <v>0</v>
      </c>
      <c r="AT24" s="15">
        <f>IF(A24="",0,IF(OR(NOT(ISNUMBER(C24)),AND(D24&lt;&gt;"",NOT(ISNUMBER(D24))),AND(E24&lt;&gt;"",NOT(ISNUMBER(E24))),AND(F24&lt;&gt;"",NOT(ISNUMBER(F24))),AND(G24&lt;&gt;"",NOT(ISNUMBER(G24))),AND(H24&lt;&gt;"",NOT(ISNUMBER(H24))),AND(J24&lt;&gt;"",NOT(ISNUMBER(J24))),AND(K24&lt;&gt;"",NOT(ISNUMBER(K24))),AND(L24&lt;&gt;"",NOT(ISNUMBER(L24))),AND(M24&lt;&gt;"",NOT(ISNUMBER(M24))),AND(N24&lt;&gt;"",NOT(ISNUMBER(N24))),AND(O24&lt;&gt;"",NOT(ISNUMBER(O24))),AND(P24&lt;&gt;"",NOT(ISNUMBER(P24))),AND(Q24&lt;&gt;"",NOT(ISNUMBER(Q24))),AND(I24&lt;&gt;"",I24&lt;&gt;"Y",I24&lt;&gt;"N"),AND(D24&lt;&gt;"",D24&lt;C24),AND(E24&lt;&gt;"",E24&lt;C24),AND(K24&lt;&gt;"",L24&lt;&gt;"",L24&lt;K24),AND(J24&lt;&gt;"",OR(J24&lt;0,J24&gt;1)),AND(J24&lt;&gt;"",J24&gt;0,L24=""),AND(G24&lt;&gt;"",H24=""),AND(I24&lt;&gt;"Y",F24="")),1,0))</f>
        <v>0</v>
      </c>
      <c r="AU24" s="15">
        <f>IF(AND(A24&lt;&gt;"",U24=0),1,0)</f>
        <v>0</v>
      </c>
    </row>
    <row r="25">
      <c r="A25" s="7" t="n"/>
      <c r="B25" s="7" t="n"/>
      <c r="C25" s="9" t="n"/>
      <c r="D25" s="9" t="n"/>
      <c r="E25" s="9" t="n"/>
      <c r="F25" s="34" t="n"/>
      <c r="G25" s="9" t="n"/>
      <c r="H25" s="34" t="n"/>
      <c r="I25" s="7" t="n"/>
      <c r="J25" s="35" t="n"/>
      <c r="K25" s="9" t="n"/>
      <c r="L25" s="9" t="n"/>
      <c r="M25" s="34" t="n"/>
      <c r="N25" s="34" t="n"/>
      <c r="O25" s="34" t="n"/>
      <c r="P25" s="9" t="n"/>
      <c r="Q25" s="34" t="n"/>
      <c r="R25" s="7" t="n"/>
      <c r="S25" s="15" t="str">
        <f>IF(A25="","",IF(C25="","Start date missing",IF(C25&gt;'Rent roll'!$B$4,"Not started",IF(AND(D25&lt;&gt;"",D25&lt;'Rent roll'!$B$4),"Ended","In force"))))</f>
        <v/>
      </c>
      <c r="T25" s="15">
        <f>IF(S25="In force",1,0)</f>
        <v>0</v>
      </c>
      <c r="U25" s="15">
        <f>IF(A25="",0,COUNTIF(Units!$C$5:$C$54,A25))</f>
        <v>0</v>
      </c>
      <c r="V25" s="15" t="str">
        <f>IF(U25=0,"",IFERROR(""&amp;INDEX(Units!$A$5:$A$54,MATCH(A25&amp;"|1",Units!$K$5:$K$54,0)),"")&amp;IF(U25&gt;=2,", "&amp;IFERROR(""&amp;INDEX(Units!$A$5:$A$54,MATCH(A25&amp;"|2",Units!$K$5:$K$54,0)),""),"")&amp;IF(U25&gt;=3,", "&amp;IFERROR(""&amp;INDEX(Units!$A$5:$A$54,MATCH(A25&amp;"|3",Units!$K$5:$K$54,0)),""),"")&amp;IF(U25&gt;3,", +"&amp;(U25-3)&amp;" more",""))</f>
        <v/>
      </c>
      <c r="W25" s="24">
        <f>IF(A25="",0,SUMIFS(Units!$B$5:$B$54,Units!$C$5:$C$54,A25))</f>
        <v>0</v>
      </c>
      <c r="X25" s="26" t="str">
        <f>IF(OR(T25=0,I25="Y"),"",IF(AND(G25&lt;&gt;"",'Rent roll'!$B$4&gt;=G25),H25,F25)*1)</f>
        <v/>
      </c>
      <c r="Y25" s="26" t="str">
        <f>IF(X25="","",X25*12)</f>
        <v/>
      </c>
      <c r="Z25" s="26" t="str">
        <f>IF(OR(X25="",W25&lt;=0),"",ROUND(X25*12/W25,2))</f>
        <v/>
      </c>
      <c r="AA25" s="31" t="str">
        <f>IF(OR(T25=0,G25="",'Rent roll'!$B$4&gt;=G25,AND(D25&lt;&gt;"",G25&gt;D25)),"",G25)</f>
        <v/>
      </c>
      <c r="AB25" s="26" t="str">
        <f>IF(OR(AA25="",H25=""),"",H25)</f>
        <v/>
      </c>
      <c r="AC25" s="15">
        <f>IF(AND(T25=1,E25&lt;&gt;"",E25&gt;'Rent roll'!$B$4),1,0)</f>
        <v>0</v>
      </c>
      <c r="AD25" s="15">
        <f>IF(AND(T25=1,J25&lt;&gt;"",J25&gt;0,L25&lt;&gt;"",OR(K25="",K25&lt;='Rent roll'!$B$4),'Rent roll'!$B$4&lt;=L25),1,0)</f>
        <v>0</v>
      </c>
      <c r="AE25" s="26">
        <f>IF(X25="",0,IF(AC25=1,X25,IF(AD25=1,ROUND(X25*J25,2),0)))</f>
        <v>0</v>
      </c>
      <c r="AF25" s="26">
        <f>IF(T25=0,0,N25+IF(AND(O25&lt;&gt;"",O25&gt;0,OR(P25="",P25&gt;='Rent roll'!$B$4)),O25,0))</f>
        <v>0</v>
      </c>
      <c r="AG25" s="15">
        <f>IF(AND(T25=1,O25&lt;&gt;"",O25&gt;0,P25&lt;&gt;"",P25&lt;'Rent roll'!$B$4),1,0)</f>
        <v>0</v>
      </c>
      <c r="AH25" s="26" t="str">
        <f>IF(T25=1,IF(Q25="",0,Q25),"")</f>
        <v/>
      </c>
      <c r="AI25" s="15">
        <f>IF(X25="",0,1)</f>
        <v>0</v>
      </c>
      <c r="AJ25" s="15">
        <f>IF(AND(T25=1,I25="Y"),1,0)</f>
        <v>0</v>
      </c>
      <c r="AK25" s="23" t="str">
        <f>IF(OR(T25=0,D25=""),"",D25-'Rent roll'!$B$4)</f>
        <v/>
      </c>
      <c r="AL25" s="23" t="str">
        <f>IF(T25=0,"",IF(D25="","No end",YEAR(D25)))</f>
        <v/>
      </c>
      <c r="AM25" s="24">
        <f>IF(OR(AK25="",X25=""),0,AK25*Y25)</f>
        <v>0</v>
      </c>
      <c r="AN25" s="26">
        <f>IF(OR(AK25="",X25=""),0,Y25)</f>
        <v>0</v>
      </c>
      <c r="AO25" s="24">
        <f>IF(AK25="",0,AK25*W25)</f>
        <v>0</v>
      </c>
      <c r="AP25" s="24">
        <f>IF(AK25="",0,W25)</f>
        <v>0</v>
      </c>
      <c r="AQ25" s="15" t="str">
        <f>IF(T25=1,COUNTIF($T$5:T25,1),"")</f>
        <v/>
      </c>
      <c r="AR25" s="36" t="str">
        <f>IF(X25="","",Y25+AQ25/1000000)</f>
        <v/>
      </c>
      <c r="AS25" s="15">
        <f>IF(A25="",0,IF(COUNTIF($A$5:$A$34,A25)&gt;1,1,0))</f>
        <v>0</v>
      </c>
      <c r="AT25" s="15">
        <f>IF(A25="",0,IF(OR(NOT(ISNUMBER(C25)),AND(D25&lt;&gt;"",NOT(ISNUMBER(D25))),AND(E25&lt;&gt;"",NOT(ISNUMBER(E25))),AND(F25&lt;&gt;"",NOT(ISNUMBER(F25))),AND(G25&lt;&gt;"",NOT(ISNUMBER(G25))),AND(H25&lt;&gt;"",NOT(ISNUMBER(H25))),AND(J25&lt;&gt;"",NOT(ISNUMBER(J25))),AND(K25&lt;&gt;"",NOT(ISNUMBER(K25))),AND(L25&lt;&gt;"",NOT(ISNUMBER(L25))),AND(M25&lt;&gt;"",NOT(ISNUMBER(M25))),AND(N25&lt;&gt;"",NOT(ISNUMBER(N25))),AND(O25&lt;&gt;"",NOT(ISNUMBER(O25))),AND(P25&lt;&gt;"",NOT(ISNUMBER(P25))),AND(Q25&lt;&gt;"",NOT(ISNUMBER(Q25))),AND(I25&lt;&gt;"",I25&lt;&gt;"Y",I25&lt;&gt;"N"),AND(D25&lt;&gt;"",D25&lt;C25),AND(E25&lt;&gt;"",E25&lt;C25),AND(K25&lt;&gt;"",L25&lt;&gt;"",L25&lt;K25),AND(J25&lt;&gt;"",OR(J25&lt;0,J25&gt;1)),AND(J25&lt;&gt;"",J25&gt;0,L25=""),AND(G25&lt;&gt;"",H25=""),AND(I25&lt;&gt;"Y",F25="")),1,0))</f>
        <v>0</v>
      </c>
      <c r="AU25" s="15">
        <f>IF(AND(A25&lt;&gt;"",U25=0),1,0)</f>
        <v>0</v>
      </c>
    </row>
    <row r="26">
      <c r="A26" s="7" t="n"/>
      <c r="B26" s="7" t="n"/>
      <c r="C26" s="9" t="n"/>
      <c r="D26" s="9" t="n"/>
      <c r="E26" s="9" t="n"/>
      <c r="F26" s="34" t="n"/>
      <c r="G26" s="9" t="n"/>
      <c r="H26" s="34" t="n"/>
      <c r="I26" s="7" t="n"/>
      <c r="J26" s="35" t="n"/>
      <c r="K26" s="9" t="n"/>
      <c r="L26" s="9" t="n"/>
      <c r="M26" s="34" t="n"/>
      <c r="N26" s="34" t="n"/>
      <c r="O26" s="34" t="n"/>
      <c r="P26" s="9" t="n"/>
      <c r="Q26" s="34" t="n"/>
      <c r="R26" s="7" t="n"/>
      <c r="S26" s="15" t="str">
        <f>IF(A26="","",IF(C26="","Start date missing",IF(C26&gt;'Rent roll'!$B$4,"Not started",IF(AND(D26&lt;&gt;"",D26&lt;'Rent roll'!$B$4),"Ended","In force"))))</f>
        <v/>
      </c>
      <c r="T26" s="15">
        <f>IF(S26="In force",1,0)</f>
        <v>0</v>
      </c>
      <c r="U26" s="15">
        <f>IF(A26="",0,COUNTIF(Units!$C$5:$C$54,A26))</f>
        <v>0</v>
      </c>
      <c r="V26" s="15" t="str">
        <f>IF(U26=0,"",IFERROR(""&amp;INDEX(Units!$A$5:$A$54,MATCH(A26&amp;"|1",Units!$K$5:$K$54,0)),"")&amp;IF(U26&gt;=2,", "&amp;IFERROR(""&amp;INDEX(Units!$A$5:$A$54,MATCH(A26&amp;"|2",Units!$K$5:$K$54,0)),""),"")&amp;IF(U26&gt;=3,", "&amp;IFERROR(""&amp;INDEX(Units!$A$5:$A$54,MATCH(A26&amp;"|3",Units!$K$5:$K$54,0)),""),"")&amp;IF(U26&gt;3,", +"&amp;(U26-3)&amp;" more",""))</f>
        <v/>
      </c>
      <c r="W26" s="24">
        <f>IF(A26="",0,SUMIFS(Units!$B$5:$B$54,Units!$C$5:$C$54,A26))</f>
        <v>0</v>
      </c>
      <c r="X26" s="26" t="str">
        <f>IF(OR(T26=0,I26="Y"),"",IF(AND(G26&lt;&gt;"",'Rent roll'!$B$4&gt;=G26),H26,F26)*1)</f>
        <v/>
      </c>
      <c r="Y26" s="26" t="str">
        <f>IF(X26="","",X26*12)</f>
        <v/>
      </c>
      <c r="Z26" s="26" t="str">
        <f>IF(OR(X26="",W26&lt;=0),"",ROUND(X26*12/W26,2))</f>
        <v/>
      </c>
      <c r="AA26" s="31" t="str">
        <f>IF(OR(T26=0,G26="",'Rent roll'!$B$4&gt;=G26,AND(D26&lt;&gt;"",G26&gt;D26)),"",G26)</f>
        <v/>
      </c>
      <c r="AB26" s="26" t="str">
        <f>IF(OR(AA26="",H26=""),"",H26)</f>
        <v/>
      </c>
      <c r="AC26" s="15">
        <f>IF(AND(T26=1,E26&lt;&gt;"",E26&gt;'Rent roll'!$B$4),1,0)</f>
        <v>0</v>
      </c>
      <c r="AD26" s="15">
        <f>IF(AND(T26=1,J26&lt;&gt;"",J26&gt;0,L26&lt;&gt;"",OR(K26="",K26&lt;='Rent roll'!$B$4),'Rent roll'!$B$4&lt;=L26),1,0)</f>
        <v>0</v>
      </c>
      <c r="AE26" s="26">
        <f>IF(X26="",0,IF(AC26=1,X26,IF(AD26=1,ROUND(X26*J26,2),0)))</f>
        <v>0</v>
      </c>
      <c r="AF26" s="26">
        <f>IF(T26=0,0,N26+IF(AND(O26&lt;&gt;"",O26&gt;0,OR(P26="",P26&gt;='Rent roll'!$B$4)),O26,0))</f>
        <v>0</v>
      </c>
      <c r="AG26" s="15">
        <f>IF(AND(T26=1,O26&lt;&gt;"",O26&gt;0,P26&lt;&gt;"",P26&lt;'Rent roll'!$B$4),1,0)</f>
        <v>0</v>
      </c>
      <c r="AH26" s="26" t="str">
        <f>IF(T26=1,IF(Q26="",0,Q26),"")</f>
        <v/>
      </c>
      <c r="AI26" s="15">
        <f>IF(X26="",0,1)</f>
        <v>0</v>
      </c>
      <c r="AJ26" s="15">
        <f>IF(AND(T26=1,I26="Y"),1,0)</f>
        <v>0</v>
      </c>
      <c r="AK26" s="23" t="str">
        <f>IF(OR(T26=0,D26=""),"",D26-'Rent roll'!$B$4)</f>
        <v/>
      </c>
      <c r="AL26" s="23" t="str">
        <f>IF(T26=0,"",IF(D26="","No end",YEAR(D26)))</f>
        <v/>
      </c>
      <c r="AM26" s="24">
        <f>IF(OR(AK26="",X26=""),0,AK26*Y26)</f>
        <v>0</v>
      </c>
      <c r="AN26" s="26">
        <f>IF(OR(AK26="",X26=""),0,Y26)</f>
        <v>0</v>
      </c>
      <c r="AO26" s="24">
        <f>IF(AK26="",0,AK26*W26)</f>
        <v>0</v>
      </c>
      <c r="AP26" s="24">
        <f>IF(AK26="",0,W26)</f>
        <v>0</v>
      </c>
      <c r="AQ26" s="15" t="str">
        <f>IF(T26=1,COUNTIF($T$5:T26,1),"")</f>
        <v/>
      </c>
      <c r="AR26" s="36" t="str">
        <f>IF(X26="","",Y26+AQ26/1000000)</f>
        <v/>
      </c>
      <c r="AS26" s="15">
        <f>IF(A26="",0,IF(COUNTIF($A$5:$A$34,A26)&gt;1,1,0))</f>
        <v>0</v>
      </c>
      <c r="AT26" s="15">
        <f>IF(A26="",0,IF(OR(NOT(ISNUMBER(C26)),AND(D26&lt;&gt;"",NOT(ISNUMBER(D26))),AND(E26&lt;&gt;"",NOT(ISNUMBER(E26))),AND(F26&lt;&gt;"",NOT(ISNUMBER(F26))),AND(G26&lt;&gt;"",NOT(ISNUMBER(G26))),AND(H26&lt;&gt;"",NOT(ISNUMBER(H26))),AND(J26&lt;&gt;"",NOT(ISNUMBER(J26))),AND(K26&lt;&gt;"",NOT(ISNUMBER(K26))),AND(L26&lt;&gt;"",NOT(ISNUMBER(L26))),AND(M26&lt;&gt;"",NOT(ISNUMBER(M26))),AND(N26&lt;&gt;"",NOT(ISNUMBER(N26))),AND(O26&lt;&gt;"",NOT(ISNUMBER(O26))),AND(P26&lt;&gt;"",NOT(ISNUMBER(P26))),AND(Q26&lt;&gt;"",NOT(ISNUMBER(Q26))),AND(I26&lt;&gt;"",I26&lt;&gt;"Y",I26&lt;&gt;"N"),AND(D26&lt;&gt;"",D26&lt;C26),AND(E26&lt;&gt;"",E26&lt;C26),AND(K26&lt;&gt;"",L26&lt;&gt;"",L26&lt;K26),AND(J26&lt;&gt;"",OR(J26&lt;0,J26&gt;1)),AND(J26&lt;&gt;"",J26&gt;0,L26=""),AND(G26&lt;&gt;"",H26=""),AND(I26&lt;&gt;"Y",F26="")),1,0))</f>
        <v>0</v>
      </c>
      <c r="AU26" s="15">
        <f>IF(AND(A26&lt;&gt;"",U26=0),1,0)</f>
        <v>0</v>
      </c>
    </row>
    <row r="27">
      <c r="A27" s="7" t="n"/>
      <c r="B27" s="7" t="n"/>
      <c r="C27" s="9" t="n"/>
      <c r="D27" s="9" t="n"/>
      <c r="E27" s="9" t="n"/>
      <c r="F27" s="34" t="n"/>
      <c r="G27" s="9" t="n"/>
      <c r="H27" s="34" t="n"/>
      <c r="I27" s="7" t="n"/>
      <c r="J27" s="35" t="n"/>
      <c r="K27" s="9" t="n"/>
      <c r="L27" s="9" t="n"/>
      <c r="M27" s="34" t="n"/>
      <c r="N27" s="34" t="n"/>
      <c r="O27" s="34" t="n"/>
      <c r="P27" s="9" t="n"/>
      <c r="Q27" s="34" t="n"/>
      <c r="R27" s="7" t="n"/>
      <c r="S27" s="15" t="str">
        <f>IF(A27="","",IF(C27="","Start date missing",IF(C27&gt;'Rent roll'!$B$4,"Not started",IF(AND(D27&lt;&gt;"",D27&lt;'Rent roll'!$B$4),"Ended","In force"))))</f>
        <v/>
      </c>
      <c r="T27" s="15">
        <f>IF(S27="In force",1,0)</f>
        <v>0</v>
      </c>
      <c r="U27" s="15">
        <f>IF(A27="",0,COUNTIF(Units!$C$5:$C$54,A27))</f>
        <v>0</v>
      </c>
      <c r="V27" s="15" t="str">
        <f>IF(U27=0,"",IFERROR(""&amp;INDEX(Units!$A$5:$A$54,MATCH(A27&amp;"|1",Units!$K$5:$K$54,0)),"")&amp;IF(U27&gt;=2,", "&amp;IFERROR(""&amp;INDEX(Units!$A$5:$A$54,MATCH(A27&amp;"|2",Units!$K$5:$K$54,0)),""),"")&amp;IF(U27&gt;=3,", "&amp;IFERROR(""&amp;INDEX(Units!$A$5:$A$54,MATCH(A27&amp;"|3",Units!$K$5:$K$54,0)),""),"")&amp;IF(U27&gt;3,", +"&amp;(U27-3)&amp;" more",""))</f>
        <v/>
      </c>
      <c r="W27" s="24">
        <f>IF(A27="",0,SUMIFS(Units!$B$5:$B$54,Units!$C$5:$C$54,A27))</f>
        <v>0</v>
      </c>
      <c r="X27" s="26" t="str">
        <f>IF(OR(T27=0,I27="Y"),"",IF(AND(G27&lt;&gt;"",'Rent roll'!$B$4&gt;=G27),H27,F27)*1)</f>
        <v/>
      </c>
      <c r="Y27" s="26" t="str">
        <f>IF(X27="","",X27*12)</f>
        <v/>
      </c>
      <c r="Z27" s="26" t="str">
        <f>IF(OR(X27="",W27&lt;=0),"",ROUND(X27*12/W27,2))</f>
        <v/>
      </c>
      <c r="AA27" s="31" t="str">
        <f>IF(OR(T27=0,G27="",'Rent roll'!$B$4&gt;=G27,AND(D27&lt;&gt;"",G27&gt;D27)),"",G27)</f>
        <v/>
      </c>
      <c r="AB27" s="26" t="str">
        <f>IF(OR(AA27="",H27=""),"",H27)</f>
        <v/>
      </c>
      <c r="AC27" s="15">
        <f>IF(AND(T27=1,E27&lt;&gt;"",E27&gt;'Rent roll'!$B$4),1,0)</f>
        <v>0</v>
      </c>
      <c r="AD27" s="15">
        <f>IF(AND(T27=1,J27&lt;&gt;"",J27&gt;0,L27&lt;&gt;"",OR(K27="",K27&lt;='Rent roll'!$B$4),'Rent roll'!$B$4&lt;=L27),1,0)</f>
        <v>0</v>
      </c>
      <c r="AE27" s="26">
        <f>IF(X27="",0,IF(AC27=1,X27,IF(AD27=1,ROUND(X27*J27,2),0)))</f>
        <v>0</v>
      </c>
      <c r="AF27" s="26">
        <f>IF(T27=0,0,N27+IF(AND(O27&lt;&gt;"",O27&gt;0,OR(P27="",P27&gt;='Rent roll'!$B$4)),O27,0))</f>
        <v>0</v>
      </c>
      <c r="AG27" s="15">
        <f>IF(AND(T27=1,O27&lt;&gt;"",O27&gt;0,P27&lt;&gt;"",P27&lt;'Rent roll'!$B$4),1,0)</f>
        <v>0</v>
      </c>
      <c r="AH27" s="26" t="str">
        <f>IF(T27=1,IF(Q27="",0,Q27),"")</f>
        <v/>
      </c>
      <c r="AI27" s="15">
        <f>IF(X27="",0,1)</f>
        <v>0</v>
      </c>
      <c r="AJ27" s="15">
        <f>IF(AND(T27=1,I27="Y"),1,0)</f>
        <v>0</v>
      </c>
      <c r="AK27" s="23" t="str">
        <f>IF(OR(T27=0,D27=""),"",D27-'Rent roll'!$B$4)</f>
        <v/>
      </c>
      <c r="AL27" s="23" t="str">
        <f>IF(T27=0,"",IF(D27="","No end",YEAR(D27)))</f>
        <v/>
      </c>
      <c r="AM27" s="24">
        <f>IF(OR(AK27="",X27=""),0,AK27*Y27)</f>
        <v>0</v>
      </c>
      <c r="AN27" s="26">
        <f>IF(OR(AK27="",X27=""),0,Y27)</f>
        <v>0</v>
      </c>
      <c r="AO27" s="24">
        <f>IF(AK27="",0,AK27*W27)</f>
        <v>0</v>
      </c>
      <c r="AP27" s="24">
        <f>IF(AK27="",0,W27)</f>
        <v>0</v>
      </c>
      <c r="AQ27" s="15" t="str">
        <f>IF(T27=1,COUNTIF($T$5:T27,1),"")</f>
        <v/>
      </c>
      <c r="AR27" s="36" t="str">
        <f>IF(X27="","",Y27+AQ27/1000000)</f>
        <v/>
      </c>
      <c r="AS27" s="15">
        <f>IF(A27="",0,IF(COUNTIF($A$5:$A$34,A27)&gt;1,1,0))</f>
        <v>0</v>
      </c>
      <c r="AT27" s="15">
        <f>IF(A27="",0,IF(OR(NOT(ISNUMBER(C27)),AND(D27&lt;&gt;"",NOT(ISNUMBER(D27))),AND(E27&lt;&gt;"",NOT(ISNUMBER(E27))),AND(F27&lt;&gt;"",NOT(ISNUMBER(F27))),AND(G27&lt;&gt;"",NOT(ISNUMBER(G27))),AND(H27&lt;&gt;"",NOT(ISNUMBER(H27))),AND(J27&lt;&gt;"",NOT(ISNUMBER(J27))),AND(K27&lt;&gt;"",NOT(ISNUMBER(K27))),AND(L27&lt;&gt;"",NOT(ISNUMBER(L27))),AND(M27&lt;&gt;"",NOT(ISNUMBER(M27))),AND(N27&lt;&gt;"",NOT(ISNUMBER(N27))),AND(O27&lt;&gt;"",NOT(ISNUMBER(O27))),AND(P27&lt;&gt;"",NOT(ISNUMBER(P27))),AND(Q27&lt;&gt;"",NOT(ISNUMBER(Q27))),AND(I27&lt;&gt;"",I27&lt;&gt;"Y",I27&lt;&gt;"N"),AND(D27&lt;&gt;"",D27&lt;C27),AND(E27&lt;&gt;"",E27&lt;C27),AND(K27&lt;&gt;"",L27&lt;&gt;"",L27&lt;K27),AND(J27&lt;&gt;"",OR(J27&lt;0,J27&gt;1)),AND(J27&lt;&gt;"",J27&gt;0,L27=""),AND(G27&lt;&gt;"",H27=""),AND(I27&lt;&gt;"Y",F27="")),1,0))</f>
        <v>0</v>
      </c>
      <c r="AU27" s="15">
        <f>IF(AND(A27&lt;&gt;"",U27=0),1,0)</f>
        <v>0</v>
      </c>
    </row>
    <row r="28">
      <c r="A28" s="7" t="n"/>
      <c r="B28" s="7" t="n"/>
      <c r="C28" s="9" t="n"/>
      <c r="D28" s="9" t="n"/>
      <c r="E28" s="9" t="n"/>
      <c r="F28" s="34" t="n"/>
      <c r="G28" s="9" t="n"/>
      <c r="H28" s="34" t="n"/>
      <c r="I28" s="7" t="n"/>
      <c r="J28" s="35" t="n"/>
      <c r="K28" s="9" t="n"/>
      <c r="L28" s="9" t="n"/>
      <c r="M28" s="34" t="n"/>
      <c r="N28" s="34" t="n"/>
      <c r="O28" s="34" t="n"/>
      <c r="P28" s="9" t="n"/>
      <c r="Q28" s="34" t="n"/>
      <c r="R28" s="7" t="n"/>
      <c r="S28" s="15" t="str">
        <f>IF(A28="","",IF(C28="","Start date missing",IF(C28&gt;'Rent roll'!$B$4,"Not started",IF(AND(D28&lt;&gt;"",D28&lt;'Rent roll'!$B$4),"Ended","In force"))))</f>
        <v/>
      </c>
      <c r="T28" s="15">
        <f>IF(S28="In force",1,0)</f>
        <v>0</v>
      </c>
      <c r="U28" s="15">
        <f>IF(A28="",0,COUNTIF(Units!$C$5:$C$54,A28))</f>
        <v>0</v>
      </c>
      <c r="V28" s="15" t="str">
        <f>IF(U28=0,"",IFERROR(""&amp;INDEX(Units!$A$5:$A$54,MATCH(A28&amp;"|1",Units!$K$5:$K$54,0)),"")&amp;IF(U28&gt;=2,", "&amp;IFERROR(""&amp;INDEX(Units!$A$5:$A$54,MATCH(A28&amp;"|2",Units!$K$5:$K$54,0)),""),"")&amp;IF(U28&gt;=3,", "&amp;IFERROR(""&amp;INDEX(Units!$A$5:$A$54,MATCH(A28&amp;"|3",Units!$K$5:$K$54,0)),""),"")&amp;IF(U28&gt;3,", +"&amp;(U28-3)&amp;" more",""))</f>
        <v/>
      </c>
      <c r="W28" s="24">
        <f>IF(A28="",0,SUMIFS(Units!$B$5:$B$54,Units!$C$5:$C$54,A28))</f>
        <v>0</v>
      </c>
      <c r="X28" s="26" t="str">
        <f>IF(OR(T28=0,I28="Y"),"",IF(AND(G28&lt;&gt;"",'Rent roll'!$B$4&gt;=G28),H28,F28)*1)</f>
        <v/>
      </c>
      <c r="Y28" s="26" t="str">
        <f>IF(X28="","",X28*12)</f>
        <v/>
      </c>
      <c r="Z28" s="26" t="str">
        <f>IF(OR(X28="",W28&lt;=0),"",ROUND(X28*12/W28,2))</f>
        <v/>
      </c>
      <c r="AA28" s="31" t="str">
        <f>IF(OR(T28=0,G28="",'Rent roll'!$B$4&gt;=G28,AND(D28&lt;&gt;"",G28&gt;D28)),"",G28)</f>
        <v/>
      </c>
      <c r="AB28" s="26" t="str">
        <f>IF(OR(AA28="",H28=""),"",H28)</f>
        <v/>
      </c>
      <c r="AC28" s="15">
        <f>IF(AND(T28=1,E28&lt;&gt;"",E28&gt;'Rent roll'!$B$4),1,0)</f>
        <v>0</v>
      </c>
      <c r="AD28" s="15">
        <f>IF(AND(T28=1,J28&lt;&gt;"",J28&gt;0,L28&lt;&gt;"",OR(K28="",K28&lt;='Rent roll'!$B$4),'Rent roll'!$B$4&lt;=L28),1,0)</f>
        <v>0</v>
      </c>
      <c r="AE28" s="26">
        <f>IF(X28="",0,IF(AC28=1,X28,IF(AD28=1,ROUND(X28*J28,2),0)))</f>
        <v>0</v>
      </c>
      <c r="AF28" s="26">
        <f>IF(T28=0,0,N28+IF(AND(O28&lt;&gt;"",O28&gt;0,OR(P28="",P28&gt;='Rent roll'!$B$4)),O28,0))</f>
        <v>0</v>
      </c>
      <c r="AG28" s="15">
        <f>IF(AND(T28=1,O28&lt;&gt;"",O28&gt;0,P28&lt;&gt;"",P28&lt;'Rent roll'!$B$4),1,0)</f>
        <v>0</v>
      </c>
      <c r="AH28" s="26" t="str">
        <f>IF(T28=1,IF(Q28="",0,Q28),"")</f>
        <v/>
      </c>
      <c r="AI28" s="15">
        <f>IF(X28="",0,1)</f>
        <v>0</v>
      </c>
      <c r="AJ28" s="15">
        <f>IF(AND(T28=1,I28="Y"),1,0)</f>
        <v>0</v>
      </c>
      <c r="AK28" s="23" t="str">
        <f>IF(OR(T28=0,D28=""),"",D28-'Rent roll'!$B$4)</f>
        <v/>
      </c>
      <c r="AL28" s="23" t="str">
        <f>IF(T28=0,"",IF(D28="","No end",YEAR(D28)))</f>
        <v/>
      </c>
      <c r="AM28" s="24">
        <f>IF(OR(AK28="",X28=""),0,AK28*Y28)</f>
        <v>0</v>
      </c>
      <c r="AN28" s="26">
        <f>IF(OR(AK28="",X28=""),0,Y28)</f>
        <v>0</v>
      </c>
      <c r="AO28" s="24">
        <f>IF(AK28="",0,AK28*W28)</f>
        <v>0</v>
      </c>
      <c r="AP28" s="24">
        <f>IF(AK28="",0,W28)</f>
        <v>0</v>
      </c>
      <c r="AQ28" s="15" t="str">
        <f>IF(T28=1,COUNTIF($T$5:T28,1),"")</f>
        <v/>
      </c>
      <c r="AR28" s="36" t="str">
        <f>IF(X28="","",Y28+AQ28/1000000)</f>
        <v/>
      </c>
      <c r="AS28" s="15">
        <f>IF(A28="",0,IF(COUNTIF($A$5:$A$34,A28)&gt;1,1,0))</f>
        <v>0</v>
      </c>
      <c r="AT28" s="15">
        <f>IF(A28="",0,IF(OR(NOT(ISNUMBER(C28)),AND(D28&lt;&gt;"",NOT(ISNUMBER(D28))),AND(E28&lt;&gt;"",NOT(ISNUMBER(E28))),AND(F28&lt;&gt;"",NOT(ISNUMBER(F28))),AND(G28&lt;&gt;"",NOT(ISNUMBER(G28))),AND(H28&lt;&gt;"",NOT(ISNUMBER(H28))),AND(J28&lt;&gt;"",NOT(ISNUMBER(J28))),AND(K28&lt;&gt;"",NOT(ISNUMBER(K28))),AND(L28&lt;&gt;"",NOT(ISNUMBER(L28))),AND(M28&lt;&gt;"",NOT(ISNUMBER(M28))),AND(N28&lt;&gt;"",NOT(ISNUMBER(N28))),AND(O28&lt;&gt;"",NOT(ISNUMBER(O28))),AND(P28&lt;&gt;"",NOT(ISNUMBER(P28))),AND(Q28&lt;&gt;"",NOT(ISNUMBER(Q28))),AND(I28&lt;&gt;"",I28&lt;&gt;"Y",I28&lt;&gt;"N"),AND(D28&lt;&gt;"",D28&lt;C28),AND(E28&lt;&gt;"",E28&lt;C28),AND(K28&lt;&gt;"",L28&lt;&gt;"",L28&lt;K28),AND(J28&lt;&gt;"",OR(J28&lt;0,J28&gt;1)),AND(J28&lt;&gt;"",J28&gt;0,L28=""),AND(G28&lt;&gt;"",H28=""),AND(I28&lt;&gt;"Y",F28="")),1,0))</f>
        <v>0</v>
      </c>
      <c r="AU28" s="15">
        <f>IF(AND(A28&lt;&gt;"",U28=0),1,0)</f>
        <v>0</v>
      </c>
    </row>
    <row r="29">
      <c r="A29" s="7" t="n"/>
      <c r="B29" s="7" t="n"/>
      <c r="C29" s="9" t="n"/>
      <c r="D29" s="9" t="n"/>
      <c r="E29" s="9" t="n"/>
      <c r="F29" s="34" t="n"/>
      <c r="G29" s="9" t="n"/>
      <c r="H29" s="34" t="n"/>
      <c r="I29" s="7" t="n"/>
      <c r="J29" s="35" t="n"/>
      <c r="K29" s="9" t="n"/>
      <c r="L29" s="9" t="n"/>
      <c r="M29" s="34" t="n"/>
      <c r="N29" s="34" t="n"/>
      <c r="O29" s="34" t="n"/>
      <c r="P29" s="9" t="n"/>
      <c r="Q29" s="34" t="n"/>
      <c r="R29" s="7" t="n"/>
      <c r="S29" s="15" t="str">
        <f>IF(A29="","",IF(C29="","Start date missing",IF(C29&gt;'Rent roll'!$B$4,"Not started",IF(AND(D29&lt;&gt;"",D29&lt;'Rent roll'!$B$4),"Ended","In force"))))</f>
        <v/>
      </c>
      <c r="T29" s="15">
        <f>IF(S29="In force",1,0)</f>
        <v>0</v>
      </c>
      <c r="U29" s="15">
        <f>IF(A29="",0,COUNTIF(Units!$C$5:$C$54,A29))</f>
        <v>0</v>
      </c>
      <c r="V29" s="15" t="str">
        <f>IF(U29=0,"",IFERROR(""&amp;INDEX(Units!$A$5:$A$54,MATCH(A29&amp;"|1",Units!$K$5:$K$54,0)),"")&amp;IF(U29&gt;=2,", "&amp;IFERROR(""&amp;INDEX(Units!$A$5:$A$54,MATCH(A29&amp;"|2",Units!$K$5:$K$54,0)),""),"")&amp;IF(U29&gt;=3,", "&amp;IFERROR(""&amp;INDEX(Units!$A$5:$A$54,MATCH(A29&amp;"|3",Units!$K$5:$K$54,0)),""),"")&amp;IF(U29&gt;3,", +"&amp;(U29-3)&amp;" more",""))</f>
        <v/>
      </c>
      <c r="W29" s="24">
        <f>IF(A29="",0,SUMIFS(Units!$B$5:$B$54,Units!$C$5:$C$54,A29))</f>
        <v>0</v>
      </c>
      <c r="X29" s="26" t="str">
        <f>IF(OR(T29=0,I29="Y"),"",IF(AND(G29&lt;&gt;"",'Rent roll'!$B$4&gt;=G29),H29,F29)*1)</f>
        <v/>
      </c>
      <c r="Y29" s="26" t="str">
        <f>IF(X29="","",X29*12)</f>
        <v/>
      </c>
      <c r="Z29" s="26" t="str">
        <f>IF(OR(X29="",W29&lt;=0),"",ROUND(X29*12/W29,2))</f>
        <v/>
      </c>
      <c r="AA29" s="31" t="str">
        <f>IF(OR(T29=0,G29="",'Rent roll'!$B$4&gt;=G29,AND(D29&lt;&gt;"",G29&gt;D29)),"",G29)</f>
        <v/>
      </c>
      <c r="AB29" s="26" t="str">
        <f>IF(OR(AA29="",H29=""),"",H29)</f>
        <v/>
      </c>
      <c r="AC29" s="15">
        <f>IF(AND(T29=1,E29&lt;&gt;"",E29&gt;'Rent roll'!$B$4),1,0)</f>
        <v>0</v>
      </c>
      <c r="AD29" s="15">
        <f>IF(AND(T29=1,J29&lt;&gt;"",J29&gt;0,L29&lt;&gt;"",OR(K29="",K29&lt;='Rent roll'!$B$4),'Rent roll'!$B$4&lt;=L29),1,0)</f>
        <v>0</v>
      </c>
      <c r="AE29" s="26">
        <f>IF(X29="",0,IF(AC29=1,X29,IF(AD29=1,ROUND(X29*J29,2),0)))</f>
        <v>0</v>
      </c>
      <c r="AF29" s="26">
        <f>IF(T29=0,0,N29+IF(AND(O29&lt;&gt;"",O29&gt;0,OR(P29="",P29&gt;='Rent roll'!$B$4)),O29,0))</f>
        <v>0</v>
      </c>
      <c r="AG29" s="15">
        <f>IF(AND(T29=1,O29&lt;&gt;"",O29&gt;0,P29&lt;&gt;"",P29&lt;'Rent roll'!$B$4),1,0)</f>
        <v>0</v>
      </c>
      <c r="AH29" s="26" t="str">
        <f>IF(T29=1,IF(Q29="",0,Q29),"")</f>
        <v/>
      </c>
      <c r="AI29" s="15">
        <f>IF(X29="",0,1)</f>
        <v>0</v>
      </c>
      <c r="AJ29" s="15">
        <f>IF(AND(T29=1,I29="Y"),1,0)</f>
        <v>0</v>
      </c>
      <c r="AK29" s="23" t="str">
        <f>IF(OR(T29=0,D29=""),"",D29-'Rent roll'!$B$4)</f>
        <v/>
      </c>
      <c r="AL29" s="23" t="str">
        <f>IF(T29=0,"",IF(D29="","No end",YEAR(D29)))</f>
        <v/>
      </c>
      <c r="AM29" s="24">
        <f>IF(OR(AK29="",X29=""),0,AK29*Y29)</f>
        <v>0</v>
      </c>
      <c r="AN29" s="26">
        <f>IF(OR(AK29="",X29=""),0,Y29)</f>
        <v>0</v>
      </c>
      <c r="AO29" s="24">
        <f>IF(AK29="",0,AK29*W29)</f>
        <v>0</v>
      </c>
      <c r="AP29" s="24">
        <f>IF(AK29="",0,W29)</f>
        <v>0</v>
      </c>
      <c r="AQ29" s="15" t="str">
        <f>IF(T29=1,COUNTIF($T$5:T29,1),"")</f>
        <v/>
      </c>
      <c r="AR29" s="36" t="str">
        <f>IF(X29="","",Y29+AQ29/1000000)</f>
        <v/>
      </c>
      <c r="AS29" s="15">
        <f>IF(A29="",0,IF(COUNTIF($A$5:$A$34,A29)&gt;1,1,0))</f>
        <v>0</v>
      </c>
      <c r="AT29" s="15">
        <f>IF(A29="",0,IF(OR(NOT(ISNUMBER(C29)),AND(D29&lt;&gt;"",NOT(ISNUMBER(D29))),AND(E29&lt;&gt;"",NOT(ISNUMBER(E29))),AND(F29&lt;&gt;"",NOT(ISNUMBER(F29))),AND(G29&lt;&gt;"",NOT(ISNUMBER(G29))),AND(H29&lt;&gt;"",NOT(ISNUMBER(H29))),AND(J29&lt;&gt;"",NOT(ISNUMBER(J29))),AND(K29&lt;&gt;"",NOT(ISNUMBER(K29))),AND(L29&lt;&gt;"",NOT(ISNUMBER(L29))),AND(M29&lt;&gt;"",NOT(ISNUMBER(M29))),AND(N29&lt;&gt;"",NOT(ISNUMBER(N29))),AND(O29&lt;&gt;"",NOT(ISNUMBER(O29))),AND(P29&lt;&gt;"",NOT(ISNUMBER(P29))),AND(Q29&lt;&gt;"",NOT(ISNUMBER(Q29))),AND(I29&lt;&gt;"",I29&lt;&gt;"Y",I29&lt;&gt;"N"),AND(D29&lt;&gt;"",D29&lt;C29),AND(E29&lt;&gt;"",E29&lt;C29),AND(K29&lt;&gt;"",L29&lt;&gt;"",L29&lt;K29),AND(J29&lt;&gt;"",OR(J29&lt;0,J29&gt;1)),AND(J29&lt;&gt;"",J29&gt;0,L29=""),AND(G29&lt;&gt;"",H29=""),AND(I29&lt;&gt;"Y",F29="")),1,0))</f>
        <v>0</v>
      </c>
      <c r="AU29" s="15">
        <f>IF(AND(A29&lt;&gt;"",U29=0),1,0)</f>
        <v>0</v>
      </c>
    </row>
    <row r="30">
      <c r="A30" s="7" t="n"/>
      <c r="B30" s="7" t="n"/>
      <c r="C30" s="9" t="n"/>
      <c r="D30" s="9" t="n"/>
      <c r="E30" s="9" t="n"/>
      <c r="F30" s="34" t="n"/>
      <c r="G30" s="9" t="n"/>
      <c r="H30" s="34" t="n"/>
      <c r="I30" s="7" t="n"/>
      <c r="J30" s="35" t="n"/>
      <c r="K30" s="9" t="n"/>
      <c r="L30" s="9" t="n"/>
      <c r="M30" s="34" t="n"/>
      <c r="N30" s="34" t="n"/>
      <c r="O30" s="34" t="n"/>
      <c r="P30" s="9" t="n"/>
      <c r="Q30" s="34" t="n"/>
      <c r="R30" s="7" t="n"/>
      <c r="S30" s="15" t="str">
        <f>IF(A30="","",IF(C30="","Start date missing",IF(C30&gt;'Rent roll'!$B$4,"Not started",IF(AND(D30&lt;&gt;"",D30&lt;'Rent roll'!$B$4),"Ended","In force"))))</f>
        <v/>
      </c>
      <c r="T30" s="15">
        <f>IF(S30="In force",1,0)</f>
        <v>0</v>
      </c>
      <c r="U30" s="15">
        <f>IF(A30="",0,COUNTIF(Units!$C$5:$C$54,A30))</f>
        <v>0</v>
      </c>
      <c r="V30" s="15" t="str">
        <f>IF(U30=0,"",IFERROR(""&amp;INDEX(Units!$A$5:$A$54,MATCH(A30&amp;"|1",Units!$K$5:$K$54,0)),"")&amp;IF(U30&gt;=2,", "&amp;IFERROR(""&amp;INDEX(Units!$A$5:$A$54,MATCH(A30&amp;"|2",Units!$K$5:$K$54,0)),""),"")&amp;IF(U30&gt;=3,", "&amp;IFERROR(""&amp;INDEX(Units!$A$5:$A$54,MATCH(A30&amp;"|3",Units!$K$5:$K$54,0)),""),"")&amp;IF(U30&gt;3,", +"&amp;(U30-3)&amp;" more",""))</f>
        <v/>
      </c>
      <c r="W30" s="24">
        <f>IF(A30="",0,SUMIFS(Units!$B$5:$B$54,Units!$C$5:$C$54,A30))</f>
        <v>0</v>
      </c>
      <c r="X30" s="26" t="str">
        <f>IF(OR(T30=0,I30="Y"),"",IF(AND(G30&lt;&gt;"",'Rent roll'!$B$4&gt;=G30),H30,F30)*1)</f>
        <v/>
      </c>
      <c r="Y30" s="26" t="str">
        <f>IF(X30="","",X30*12)</f>
        <v/>
      </c>
      <c r="Z30" s="26" t="str">
        <f>IF(OR(X30="",W30&lt;=0),"",ROUND(X30*12/W30,2))</f>
        <v/>
      </c>
      <c r="AA30" s="31" t="str">
        <f>IF(OR(T30=0,G30="",'Rent roll'!$B$4&gt;=G30,AND(D30&lt;&gt;"",G30&gt;D30)),"",G30)</f>
        <v/>
      </c>
      <c r="AB30" s="26" t="str">
        <f>IF(OR(AA30="",H30=""),"",H30)</f>
        <v/>
      </c>
      <c r="AC30" s="15">
        <f>IF(AND(T30=1,E30&lt;&gt;"",E30&gt;'Rent roll'!$B$4),1,0)</f>
        <v>0</v>
      </c>
      <c r="AD30" s="15">
        <f>IF(AND(T30=1,J30&lt;&gt;"",J30&gt;0,L30&lt;&gt;"",OR(K30="",K30&lt;='Rent roll'!$B$4),'Rent roll'!$B$4&lt;=L30),1,0)</f>
        <v>0</v>
      </c>
      <c r="AE30" s="26">
        <f>IF(X30="",0,IF(AC30=1,X30,IF(AD30=1,ROUND(X30*J30,2),0)))</f>
        <v>0</v>
      </c>
      <c r="AF30" s="26">
        <f>IF(T30=0,0,N30+IF(AND(O30&lt;&gt;"",O30&gt;0,OR(P30="",P30&gt;='Rent roll'!$B$4)),O30,0))</f>
        <v>0</v>
      </c>
      <c r="AG30" s="15">
        <f>IF(AND(T30=1,O30&lt;&gt;"",O30&gt;0,P30&lt;&gt;"",P30&lt;'Rent roll'!$B$4),1,0)</f>
        <v>0</v>
      </c>
      <c r="AH30" s="26" t="str">
        <f>IF(T30=1,IF(Q30="",0,Q30),"")</f>
        <v/>
      </c>
      <c r="AI30" s="15">
        <f>IF(X30="",0,1)</f>
        <v>0</v>
      </c>
      <c r="AJ30" s="15">
        <f>IF(AND(T30=1,I30="Y"),1,0)</f>
        <v>0</v>
      </c>
      <c r="AK30" s="23" t="str">
        <f>IF(OR(T30=0,D30=""),"",D30-'Rent roll'!$B$4)</f>
        <v/>
      </c>
      <c r="AL30" s="23" t="str">
        <f>IF(T30=0,"",IF(D30="","No end",YEAR(D30)))</f>
        <v/>
      </c>
      <c r="AM30" s="24">
        <f>IF(OR(AK30="",X30=""),0,AK30*Y30)</f>
        <v>0</v>
      </c>
      <c r="AN30" s="26">
        <f>IF(OR(AK30="",X30=""),0,Y30)</f>
        <v>0</v>
      </c>
      <c r="AO30" s="24">
        <f>IF(AK30="",0,AK30*W30)</f>
        <v>0</v>
      </c>
      <c r="AP30" s="24">
        <f>IF(AK30="",0,W30)</f>
        <v>0</v>
      </c>
      <c r="AQ30" s="15" t="str">
        <f>IF(T30=1,COUNTIF($T$5:T30,1),"")</f>
        <v/>
      </c>
      <c r="AR30" s="36" t="str">
        <f>IF(X30="","",Y30+AQ30/1000000)</f>
        <v/>
      </c>
      <c r="AS30" s="15">
        <f>IF(A30="",0,IF(COUNTIF($A$5:$A$34,A30)&gt;1,1,0))</f>
        <v>0</v>
      </c>
      <c r="AT30" s="15">
        <f>IF(A30="",0,IF(OR(NOT(ISNUMBER(C30)),AND(D30&lt;&gt;"",NOT(ISNUMBER(D30))),AND(E30&lt;&gt;"",NOT(ISNUMBER(E30))),AND(F30&lt;&gt;"",NOT(ISNUMBER(F30))),AND(G30&lt;&gt;"",NOT(ISNUMBER(G30))),AND(H30&lt;&gt;"",NOT(ISNUMBER(H30))),AND(J30&lt;&gt;"",NOT(ISNUMBER(J30))),AND(K30&lt;&gt;"",NOT(ISNUMBER(K30))),AND(L30&lt;&gt;"",NOT(ISNUMBER(L30))),AND(M30&lt;&gt;"",NOT(ISNUMBER(M30))),AND(N30&lt;&gt;"",NOT(ISNUMBER(N30))),AND(O30&lt;&gt;"",NOT(ISNUMBER(O30))),AND(P30&lt;&gt;"",NOT(ISNUMBER(P30))),AND(Q30&lt;&gt;"",NOT(ISNUMBER(Q30))),AND(I30&lt;&gt;"",I30&lt;&gt;"Y",I30&lt;&gt;"N"),AND(D30&lt;&gt;"",D30&lt;C30),AND(E30&lt;&gt;"",E30&lt;C30),AND(K30&lt;&gt;"",L30&lt;&gt;"",L30&lt;K30),AND(J30&lt;&gt;"",OR(J30&lt;0,J30&gt;1)),AND(J30&lt;&gt;"",J30&gt;0,L30=""),AND(G30&lt;&gt;"",H30=""),AND(I30&lt;&gt;"Y",F30="")),1,0))</f>
        <v>0</v>
      </c>
      <c r="AU30" s="15">
        <f>IF(AND(A30&lt;&gt;"",U30=0),1,0)</f>
        <v>0</v>
      </c>
    </row>
    <row r="31">
      <c r="A31" s="7" t="n"/>
      <c r="B31" s="7" t="n"/>
      <c r="C31" s="9" t="n"/>
      <c r="D31" s="9" t="n"/>
      <c r="E31" s="9" t="n"/>
      <c r="F31" s="34" t="n"/>
      <c r="G31" s="9" t="n"/>
      <c r="H31" s="34" t="n"/>
      <c r="I31" s="7" t="n"/>
      <c r="J31" s="35" t="n"/>
      <c r="K31" s="9" t="n"/>
      <c r="L31" s="9" t="n"/>
      <c r="M31" s="34" t="n"/>
      <c r="N31" s="34" t="n"/>
      <c r="O31" s="34" t="n"/>
      <c r="P31" s="9" t="n"/>
      <c r="Q31" s="34" t="n"/>
      <c r="R31" s="7" t="n"/>
      <c r="S31" s="15" t="str">
        <f>IF(A31="","",IF(C31="","Start date missing",IF(C31&gt;'Rent roll'!$B$4,"Not started",IF(AND(D31&lt;&gt;"",D31&lt;'Rent roll'!$B$4),"Ended","In force"))))</f>
        <v/>
      </c>
      <c r="T31" s="15">
        <f>IF(S31="In force",1,0)</f>
        <v>0</v>
      </c>
      <c r="U31" s="15">
        <f>IF(A31="",0,COUNTIF(Units!$C$5:$C$54,A31))</f>
        <v>0</v>
      </c>
      <c r="V31" s="15" t="str">
        <f>IF(U31=0,"",IFERROR(""&amp;INDEX(Units!$A$5:$A$54,MATCH(A31&amp;"|1",Units!$K$5:$K$54,0)),"")&amp;IF(U31&gt;=2,", "&amp;IFERROR(""&amp;INDEX(Units!$A$5:$A$54,MATCH(A31&amp;"|2",Units!$K$5:$K$54,0)),""),"")&amp;IF(U31&gt;=3,", "&amp;IFERROR(""&amp;INDEX(Units!$A$5:$A$54,MATCH(A31&amp;"|3",Units!$K$5:$K$54,0)),""),"")&amp;IF(U31&gt;3,", +"&amp;(U31-3)&amp;" more",""))</f>
        <v/>
      </c>
      <c r="W31" s="24">
        <f>IF(A31="",0,SUMIFS(Units!$B$5:$B$54,Units!$C$5:$C$54,A31))</f>
        <v>0</v>
      </c>
      <c r="X31" s="26" t="str">
        <f>IF(OR(T31=0,I31="Y"),"",IF(AND(G31&lt;&gt;"",'Rent roll'!$B$4&gt;=G31),H31,F31)*1)</f>
        <v/>
      </c>
      <c r="Y31" s="26" t="str">
        <f>IF(X31="","",X31*12)</f>
        <v/>
      </c>
      <c r="Z31" s="26" t="str">
        <f>IF(OR(X31="",W31&lt;=0),"",ROUND(X31*12/W31,2))</f>
        <v/>
      </c>
      <c r="AA31" s="31" t="str">
        <f>IF(OR(T31=0,G31="",'Rent roll'!$B$4&gt;=G31,AND(D31&lt;&gt;"",G31&gt;D31)),"",G31)</f>
        <v/>
      </c>
      <c r="AB31" s="26" t="str">
        <f>IF(OR(AA31="",H31=""),"",H31)</f>
        <v/>
      </c>
      <c r="AC31" s="15">
        <f>IF(AND(T31=1,E31&lt;&gt;"",E31&gt;'Rent roll'!$B$4),1,0)</f>
        <v>0</v>
      </c>
      <c r="AD31" s="15">
        <f>IF(AND(T31=1,J31&lt;&gt;"",J31&gt;0,L31&lt;&gt;"",OR(K31="",K31&lt;='Rent roll'!$B$4),'Rent roll'!$B$4&lt;=L31),1,0)</f>
        <v>0</v>
      </c>
      <c r="AE31" s="26">
        <f>IF(X31="",0,IF(AC31=1,X31,IF(AD31=1,ROUND(X31*J31,2),0)))</f>
        <v>0</v>
      </c>
      <c r="AF31" s="26">
        <f>IF(T31=0,0,N31+IF(AND(O31&lt;&gt;"",O31&gt;0,OR(P31="",P31&gt;='Rent roll'!$B$4)),O31,0))</f>
        <v>0</v>
      </c>
      <c r="AG31" s="15">
        <f>IF(AND(T31=1,O31&lt;&gt;"",O31&gt;0,P31&lt;&gt;"",P31&lt;'Rent roll'!$B$4),1,0)</f>
        <v>0</v>
      </c>
      <c r="AH31" s="26" t="str">
        <f>IF(T31=1,IF(Q31="",0,Q31),"")</f>
        <v/>
      </c>
      <c r="AI31" s="15">
        <f>IF(X31="",0,1)</f>
        <v>0</v>
      </c>
      <c r="AJ31" s="15">
        <f>IF(AND(T31=1,I31="Y"),1,0)</f>
        <v>0</v>
      </c>
      <c r="AK31" s="23" t="str">
        <f>IF(OR(T31=0,D31=""),"",D31-'Rent roll'!$B$4)</f>
        <v/>
      </c>
      <c r="AL31" s="23" t="str">
        <f>IF(T31=0,"",IF(D31="","No end",YEAR(D31)))</f>
        <v/>
      </c>
      <c r="AM31" s="24">
        <f>IF(OR(AK31="",X31=""),0,AK31*Y31)</f>
        <v>0</v>
      </c>
      <c r="AN31" s="26">
        <f>IF(OR(AK31="",X31=""),0,Y31)</f>
        <v>0</v>
      </c>
      <c r="AO31" s="24">
        <f>IF(AK31="",0,AK31*W31)</f>
        <v>0</v>
      </c>
      <c r="AP31" s="24">
        <f>IF(AK31="",0,W31)</f>
        <v>0</v>
      </c>
      <c r="AQ31" s="15" t="str">
        <f>IF(T31=1,COUNTIF($T$5:T31,1),"")</f>
        <v/>
      </c>
      <c r="AR31" s="36" t="str">
        <f>IF(X31="","",Y31+AQ31/1000000)</f>
        <v/>
      </c>
      <c r="AS31" s="15">
        <f>IF(A31="",0,IF(COUNTIF($A$5:$A$34,A31)&gt;1,1,0))</f>
        <v>0</v>
      </c>
      <c r="AT31" s="15">
        <f>IF(A31="",0,IF(OR(NOT(ISNUMBER(C31)),AND(D31&lt;&gt;"",NOT(ISNUMBER(D31))),AND(E31&lt;&gt;"",NOT(ISNUMBER(E31))),AND(F31&lt;&gt;"",NOT(ISNUMBER(F31))),AND(G31&lt;&gt;"",NOT(ISNUMBER(G31))),AND(H31&lt;&gt;"",NOT(ISNUMBER(H31))),AND(J31&lt;&gt;"",NOT(ISNUMBER(J31))),AND(K31&lt;&gt;"",NOT(ISNUMBER(K31))),AND(L31&lt;&gt;"",NOT(ISNUMBER(L31))),AND(M31&lt;&gt;"",NOT(ISNUMBER(M31))),AND(N31&lt;&gt;"",NOT(ISNUMBER(N31))),AND(O31&lt;&gt;"",NOT(ISNUMBER(O31))),AND(P31&lt;&gt;"",NOT(ISNUMBER(P31))),AND(Q31&lt;&gt;"",NOT(ISNUMBER(Q31))),AND(I31&lt;&gt;"",I31&lt;&gt;"Y",I31&lt;&gt;"N"),AND(D31&lt;&gt;"",D31&lt;C31),AND(E31&lt;&gt;"",E31&lt;C31),AND(K31&lt;&gt;"",L31&lt;&gt;"",L31&lt;K31),AND(J31&lt;&gt;"",OR(J31&lt;0,J31&gt;1)),AND(J31&lt;&gt;"",J31&gt;0,L31=""),AND(G31&lt;&gt;"",H31=""),AND(I31&lt;&gt;"Y",F31="")),1,0))</f>
        <v>0</v>
      </c>
      <c r="AU31" s="15">
        <f>IF(AND(A31&lt;&gt;"",U31=0),1,0)</f>
        <v>0</v>
      </c>
    </row>
    <row r="32">
      <c r="A32" s="7" t="n"/>
      <c r="B32" s="7" t="n"/>
      <c r="C32" s="9" t="n"/>
      <c r="D32" s="9" t="n"/>
      <c r="E32" s="9" t="n"/>
      <c r="F32" s="34" t="n"/>
      <c r="G32" s="9" t="n"/>
      <c r="H32" s="34" t="n"/>
      <c r="I32" s="7" t="n"/>
      <c r="J32" s="35" t="n"/>
      <c r="K32" s="9" t="n"/>
      <c r="L32" s="9" t="n"/>
      <c r="M32" s="34" t="n"/>
      <c r="N32" s="34" t="n"/>
      <c r="O32" s="34" t="n"/>
      <c r="P32" s="9" t="n"/>
      <c r="Q32" s="34" t="n"/>
      <c r="R32" s="7" t="n"/>
      <c r="S32" s="15" t="str">
        <f>IF(A32="","",IF(C32="","Start date missing",IF(C32&gt;'Rent roll'!$B$4,"Not started",IF(AND(D32&lt;&gt;"",D32&lt;'Rent roll'!$B$4),"Ended","In force"))))</f>
        <v/>
      </c>
      <c r="T32" s="15">
        <f>IF(S32="In force",1,0)</f>
        <v>0</v>
      </c>
      <c r="U32" s="15">
        <f>IF(A32="",0,COUNTIF(Units!$C$5:$C$54,A32))</f>
        <v>0</v>
      </c>
      <c r="V32" s="15" t="str">
        <f>IF(U32=0,"",IFERROR(""&amp;INDEX(Units!$A$5:$A$54,MATCH(A32&amp;"|1",Units!$K$5:$K$54,0)),"")&amp;IF(U32&gt;=2,", "&amp;IFERROR(""&amp;INDEX(Units!$A$5:$A$54,MATCH(A32&amp;"|2",Units!$K$5:$K$54,0)),""),"")&amp;IF(U32&gt;=3,", "&amp;IFERROR(""&amp;INDEX(Units!$A$5:$A$54,MATCH(A32&amp;"|3",Units!$K$5:$K$54,0)),""),"")&amp;IF(U32&gt;3,", +"&amp;(U32-3)&amp;" more",""))</f>
        <v/>
      </c>
      <c r="W32" s="24">
        <f>IF(A32="",0,SUMIFS(Units!$B$5:$B$54,Units!$C$5:$C$54,A32))</f>
        <v>0</v>
      </c>
      <c r="X32" s="26" t="str">
        <f>IF(OR(T32=0,I32="Y"),"",IF(AND(G32&lt;&gt;"",'Rent roll'!$B$4&gt;=G32),H32,F32)*1)</f>
        <v/>
      </c>
      <c r="Y32" s="26" t="str">
        <f>IF(X32="","",X32*12)</f>
        <v/>
      </c>
      <c r="Z32" s="26" t="str">
        <f>IF(OR(X32="",W32&lt;=0),"",ROUND(X32*12/W32,2))</f>
        <v/>
      </c>
      <c r="AA32" s="31" t="str">
        <f>IF(OR(T32=0,G32="",'Rent roll'!$B$4&gt;=G32,AND(D32&lt;&gt;"",G32&gt;D32)),"",G32)</f>
        <v/>
      </c>
      <c r="AB32" s="26" t="str">
        <f>IF(OR(AA32="",H32=""),"",H32)</f>
        <v/>
      </c>
      <c r="AC32" s="15">
        <f>IF(AND(T32=1,E32&lt;&gt;"",E32&gt;'Rent roll'!$B$4),1,0)</f>
        <v>0</v>
      </c>
      <c r="AD32" s="15">
        <f>IF(AND(T32=1,J32&lt;&gt;"",J32&gt;0,L32&lt;&gt;"",OR(K32="",K32&lt;='Rent roll'!$B$4),'Rent roll'!$B$4&lt;=L32),1,0)</f>
        <v>0</v>
      </c>
      <c r="AE32" s="26">
        <f>IF(X32="",0,IF(AC32=1,X32,IF(AD32=1,ROUND(X32*J32,2),0)))</f>
        <v>0</v>
      </c>
      <c r="AF32" s="26">
        <f>IF(T32=0,0,N32+IF(AND(O32&lt;&gt;"",O32&gt;0,OR(P32="",P32&gt;='Rent roll'!$B$4)),O32,0))</f>
        <v>0</v>
      </c>
      <c r="AG32" s="15">
        <f>IF(AND(T32=1,O32&lt;&gt;"",O32&gt;0,P32&lt;&gt;"",P32&lt;'Rent roll'!$B$4),1,0)</f>
        <v>0</v>
      </c>
      <c r="AH32" s="26" t="str">
        <f>IF(T32=1,IF(Q32="",0,Q32),"")</f>
        <v/>
      </c>
      <c r="AI32" s="15">
        <f>IF(X32="",0,1)</f>
        <v>0</v>
      </c>
      <c r="AJ32" s="15">
        <f>IF(AND(T32=1,I32="Y"),1,0)</f>
        <v>0</v>
      </c>
      <c r="AK32" s="23" t="str">
        <f>IF(OR(T32=0,D32=""),"",D32-'Rent roll'!$B$4)</f>
        <v/>
      </c>
      <c r="AL32" s="23" t="str">
        <f>IF(T32=0,"",IF(D32="","No end",YEAR(D32)))</f>
        <v/>
      </c>
      <c r="AM32" s="24">
        <f>IF(OR(AK32="",X32=""),0,AK32*Y32)</f>
        <v>0</v>
      </c>
      <c r="AN32" s="26">
        <f>IF(OR(AK32="",X32=""),0,Y32)</f>
        <v>0</v>
      </c>
      <c r="AO32" s="24">
        <f>IF(AK32="",0,AK32*W32)</f>
        <v>0</v>
      </c>
      <c r="AP32" s="24">
        <f>IF(AK32="",0,W32)</f>
        <v>0</v>
      </c>
      <c r="AQ32" s="15" t="str">
        <f>IF(T32=1,COUNTIF($T$5:T32,1),"")</f>
        <v/>
      </c>
      <c r="AR32" s="36" t="str">
        <f>IF(X32="","",Y32+AQ32/1000000)</f>
        <v/>
      </c>
      <c r="AS32" s="15">
        <f>IF(A32="",0,IF(COUNTIF($A$5:$A$34,A32)&gt;1,1,0))</f>
        <v>0</v>
      </c>
      <c r="AT32" s="15">
        <f>IF(A32="",0,IF(OR(NOT(ISNUMBER(C32)),AND(D32&lt;&gt;"",NOT(ISNUMBER(D32))),AND(E32&lt;&gt;"",NOT(ISNUMBER(E32))),AND(F32&lt;&gt;"",NOT(ISNUMBER(F32))),AND(G32&lt;&gt;"",NOT(ISNUMBER(G32))),AND(H32&lt;&gt;"",NOT(ISNUMBER(H32))),AND(J32&lt;&gt;"",NOT(ISNUMBER(J32))),AND(K32&lt;&gt;"",NOT(ISNUMBER(K32))),AND(L32&lt;&gt;"",NOT(ISNUMBER(L32))),AND(M32&lt;&gt;"",NOT(ISNUMBER(M32))),AND(N32&lt;&gt;"",NOT(ISNUMBER(N32))),AND(O32&lt;&gt;"",NOT(ISNUMBER(O32))),AND(P32&lt;&gt;"",NOT(ISNUMBER(P32))),AND(Q32&lt;&gt;"",NOT(ISNUMBER(Q32))),AND(I32&lt;&gt;"",I32&lt;&gt;"Y",I32&lt;&gt;"N"),AND(D32&lt;&gt;"",D32&lt;C32),AND(E32&lt;&gt;"",E32&lt;C32),AND(K32&lt;&gt;"",L32&lt;&gt;"",L32&lt;K32),AND(J32&lt;&gt;"",OR(J32&lt;0,J32&gt;1)),AND(J32&lt;&gt;"",J32&gt;0,L32=""),AND(G32&lt;&gt;"",H32=""),AND(I32&lt;&gt;"Y",F32="")),1,0))</f>
        <v>0</v>
      </c>
      <c r="AU32" s="15">
        <f>IF(AND(A32&lt;&gt;"",U32=0),1,0)</f>
        <v>0</v>
      </c>
    </row>
    <row r="33">
      <c r="A33" s="7" t="n"/>
      <c r="B33" s="7" t="n"/>
      <c r="C33" s="9" t="n"/>
      <c r="D33" s="9" t="n"/>
      <c r="E33" s="9" t="n"/>
      <c r="F33" s="34" t="n"/>
      <c r="G33" s="9" t="n"/>
      <c r="H33" s="34" t="n"/>
      <c r="I33" s="7" t="n"/>
      <c r="J33" s="35" t="n"/>
      <c r="K33" s="9" t="n"/>
      <c r="L33" s="9" t="n"/>
      <c r="M33" s="34" t="n"/>
      <c r="N33" s="34" t="n"/>
      <c r="O33" s="34" t="n"/>
      <c r="P33" s="9" t="n"/>
      <c r="Q33" s="34" t="n"/>
      <c r="R33" s="7" t="n"/>
      <c r="S33" s="15" t="str">
        <f>IF(A33="","",IF(C33="","Start date missing",IF(C33&gt;'Rent roll'!$B$4,"Not started",IF(AND(D33&lt;&gt;"",D33&lt;'Rent roll'!$B$4),"Ended","In force"))))</f>
        <v/>
      </c>
      <c r="T33" s="15">
        <f>IF(S33="In force",1,0)</f>
        <v>0</v>
      </c>
      <c r="U33" s="15">
        <f>IF(A33="",0,COUNTIF(Units!$C$5:$C$54,A33))</f>
        <v>0</v>
      </c>
      <c r="V33" s="15" t="str">
        <f>IF(U33=0,"",IFERROR(""&amp;INDEX(Units!$A$5:$A$54,MATCH(A33&amp;"|1",Units!$K$5:$K$54,0)),"")&amp;IF(U33&gt;=2,", "&amp;IFERROR(""&amp;INDEX(Units!$A$5:$A$54,MATCH(A33&amp;"|2",Units!$K$5:$K$54,0)),""),"")&amp;IF(U33&gt;=3,", "&amp;IFERROR(""&amp;INDEX(Units!$A$5:$A$54,MATCH(A33&amp;"|3",Units!$K$5:$K$54,0)),""),"")&amp;IF(U33&gt;3,", +"&amp;(U33-3)&amp;" more",""))</f>
        <v/>
      </c>
      <c r="W33" s="24">
        <f>IF(A33="",0,SUMIFS(Units!$B$5:$B$54,Units!$C$5:$C$54,A33))</f>
        <v>0</v>
      </c>
      <c r="X33" s="26" t="str">
        <f>IF(OR(T33=0,I33="Y"),"",IF(AND(G33&lt;&gt;"",'Rent roll'!$B$4&gt;=G33),H33,F33)*1)</f>
        <v/>
      </c>
      <c r="Y33" s="26" t="str">
        <f>IF(X33="","",X33*12)</f>
        <v/>
      </c>
      <c r="Z33" s="26" t="str">
        <f>IF(OR(X33="",W33&lt;=0),"",ROUND(X33*12/W33,2))</f>
        <v/>
      </c>
      <c r="AA33" s="31" t="str">
        <f>IF(OR(T33=0,G33="",'Rent roll'!$B$4&gt;=G33,AND(D33&lt;&gt;"",G33&gt;D33)),"",G33)</f>
        <v/>
      </c>
      <c r="AB33" s="26" t="str">
        <f>IF(OR(AA33="",H33=""),"",H33)</f>
        <v/>
      </c>
      <c r="AC33" s="15">
        <f>IF(AND(T33=1,E33&lt;&gt;"",E33&gt;'Rent roll'!$B$4),1,0)</f>
        <v>0</v>
      </c>
      <c r="AD33" s="15">
        <f>IF(AND(T33=1,J33&lt;&gt;"",J33&gt;0,L33&lt;&gt;"",OR(K33="",K33&lt;='Rent roll'!$B$4),'Rent roll'!$B$4&lt;=L33),1,0)</f>
        <v>0</v>
      </c>
      <c r="AE33" s="26">
        <f>IF(X33="",0,IF(AC33=1,X33,IF(AD33=1,ROUND(X33*J33,2),0)))</f>
        <v>0</v>
      </c>
      <c r="AF33" s="26">
        <f>IF(T33=0,0,N33+IF(AND(O33&lt;&gt;"",O33&gt;0,OR(P33="",P33&gt;='Rent roll'!$B$4)),O33,0))</f>
        <v>0</v>
      </c>
      <c r="AG33" s="15">
        <f>IF(AND(T33=1,O33&lt;&gt;"",O33&gt;0,P33&lt;&gt;"",P33&lt;'Rent roll'!$B$4),1,0)</f>
        <v>0</v>
      </c>
      <c r="AH33" s="26" t="str">
        <f>IF(T33=1,IF(Q33="",0,Q33),"")</f>
        <v/>
      </c>
      <c r="AI33" s="15">
        <f>IF(X33="",0,1)</f>
        <v>0</v>
      </c>
      <c r="AJ33" s="15">
        <f>IF(AND(T33=1,I33="Y"),1,0)</f>
        <v>0</v>
      </c>
      <c r="AK33" s="23" t="str">
        <f>IF(OR(T33=0,D33=""),"",D33-'Rent roll'!$B$4)</f>
        <v/>
      </c>
      <c r="AL33" s="23" t="str">
        <f>IF(T33=0,"",IF(D33="","No end",YEAR(D33)))</f>
        <v/>
      </c>
      <c r="AM33" s="24">
        <f>IF(OR(AK33="",X33=""),0,AK33*Y33)</f>
        <v>0</v>
      </c>
      <c r="AN33" s="26">
        <f>IF(OR(AK33="",X33=""),0,Y33)</f>
        <v>0</v>
      </c>
      <c r="AO33" s="24">
        <f>IF(AK33="",0,AK33*W33)</f>
        <v>0</v>
      </c>
      <c r="AP33" s="24">
        <f>IF(AK33="",0,W33)</f>
        <v>0</v>
      </c>
      <c r="AQ33" s="15" t="str">
        <f>IF(T33=1,COUNTIF($T$5:T33,1),"")</f>
        <v/>
      </c>
      <c r="AR33" s="36" t="str">
        <f>IF(X33="","",Y33+AQ33/1000000)</f>
        <v/>
      </c>
      <c r="AS33" s="15">
        <f>IF(A33="",0,IF(COUNTIF($A$5:$A$34,A33)&gt;1,1,0))</f>
        <v>0</v>
      </c>
      <c r="AT33" s="15">
        <f>IF(A33="",0,IF(OR(NOT(ISNUMBER(C33)),AND(D33&lt;&gt;"",NOT(ISNUMBER(D33))),AND(E33&lt;&gt;"",NOT(ISNUMBER(E33))),AND(F33&lt;&gt;"",NOT(ISNUMBER(F33))),AND(G33&lt;&gt;"",NOT(ISNUMBER(G33))),AND(H33&lt;&gt;"",NOT(ISNUMBER(H33))),AND(J33&lt;&gt;"",NOT(ISNUMBER(J33))),AND(K33&lt;&gt;"",NOT(ISNUMBER(K33))),AND(L33&lt;&gt;"",NOT(ISNUMBER(L33))),AND(M33&lt;&gt;"",NOT(ISNUMBER(M33))),AND(N33&lt;&gt;"",NOT(ISNUMBER(N33))),AND(O33&lt;&gt;"",NOT(ISNUMBER(O33))),AND(P33&lt;&gt;"",NOT(ISNUMBER(P33))),AND(Q33&lt;&gt;"",NOT(ISNUMBER(Q33))),AND(I33&lt;&gt;"",I33&lt;&gt;"Y",I33&lt;&gt;"N"),AND(D33&lt;&gt;"",D33&lt;C33),AND(E33&lt;&gt;"",E33&lt;C33),AND(K33&lt;&gt;"",L33&lt;&gt;"",L33&lt;K33),AND(J33&lt;&gt;"",OR(J33&lt;0,J33&gt;1)),AND(J33&lt;&gt;"",J33&gt;0,L33=""),AND(G33&lt;&gt;"",H33=""),AND(I33&lt;&gt;"Y",F33="")),1,0))</f>
        <v>0</v>
      </c>
      <c r="AU33" s="15">
        <f>IF(AND(A33&lt;&gt;"",U33=0),1,0)</f>
        <v>0</v>
      </c>
    </row>
    <row r="34">
      <c r="A34" s="7" t="n"/>
      <c r="B34" s="7" t="n"/>
      <c r="C34" s="9" t="n"/>
      <c r="D34" s="9" t="n"/>
      <c r="E34" s="9" t="n"/>
      <c r="F34" s="34" t="n"/>
      <c r="G34" s="9" t="n"/>
      <c r="H34" s="34" t="n"/>
      <c r="I34" s="7" t="n"/>
      <c r="J34" s="35" t="n"/>
      <c r="K34" s="9" t="n"/>
      <c r="L34" s="9" t="n"/>
      <c r="M34" s="34" t="n"/>
      <c r="N34" s="34" t="n"/>
      <c r="O34" s="34" t="n"/>
      <c r="P34" s="9" t="n"/>
      <c r="Q34" s="34" t="n"/>
      <c r="R34" s="7" t="n"/>
      <c r="S34" s="15" t="str">
        <f>IF(A34="","",IF(C34="","Start date missing",IF(C34&gt;'Rent roll'!$B$4,"Not started",IF(AND(D34&lt;&gt;"",D34&lt;'Rent roll'!$B$4),"Ended","In force"))))</f>
        <v/>
      </c>
      <c r="T34" s="15">
        <f>IF(S34="In force",1,0)</f>
        <v>0</v>
      </c>
      <c r="U34" s="15">
        <f>IF(A34="",0,COUNTIF(Units!$C$5:$C$54,A34))</f>
        <v>0</v>
      </c>
      <c r="V34" s="15" t="str">
        <f>IF(U34=0,"",IFERROR(""&amp;INDEX(Units!$A$5:$A$54,MATCH(A34&amp;"|1",Units!$K$5:$K$54,0)),"")&amp;IF(U34&gt;=2,", "&amp;IFERROR(""&amp;INDEX(Units!$A$5:$A$54,MATCH(A34&amp;"|2",Units!$K$5:$K$54,0)),""),"")&amp;IF(U34&gt;=3,", "&amp;IFERROR(""&amp;INDEX(Units!$A$5:$A$54,MATCH(A34&amp;"|3",Units!$K$5:$K$54,0)),""),"")&amp;IF(U34&gt;3,", +"&amp;(U34-3)&amp;" more",""))</f>
        <v/>
      </c>
      <c r="W34" s="24">
        <f>IF(A34="",0,SUMIFS(Units!$B$5:$B$54,Units!$C$5:$C$54,A34))</f>
        <v>0</v>
      </c>
      <c r="X34" s="26" t="str">
        <f>IF(OR(T34=0,I34="Y"),"",IF(AND(G34&lt;&gt;"",'Rent roll'!$B$4&gt;=G34),H34,F34)*1)</f>
        <v/>
      </c>
      <c r="Y34" s="26" t="str">
        <f>IF(X34="","",X34*12)</f>
        <v/>
      </c>
      <c r="Z34" s="26" t="str">
        <f>IF(OR(X34="",W34&lt;=0),"",ROUND(X34*12/W34,2))</f>
        <v/>
      </c>
      <c r="AA34" s="31" t="str">
        <f>IF(OR(T34=0,G34="",'Rent roll'!$B$4&gt;=G34,AND(D34&lt;&gt;"",G34&gt;D34)),"",G34)</f>
        <v/>
      </c>
      <c r="AB34" s="26" t="str">
        <f>IF(OR(AA34="",H34=""),"",H34)</f>
        <v/>
      </c>
      <c r="AC34" s="15">
        <f>IF(AND(T34=1,E34&lt;&gt;"",E34&gt;'Rent roll'!$B$4),1,0)</f>
        <v>0</v>
      </c>
      <c r="AD34" s="15">
        <f>IF(AND(T34=1,J34&lt;&gt;"",J34&gt;0,L34&lt;&gt;"",OR(K34="",K34&lt;='Rent roll'!$B$4),'Rent roll'!$B$4&lt;=L34),1,0)</f>
        <v>0</v>
      </c>
      <c r="AE34" s="26">
        <f>IF(X34="",0,IF(AC34=1,X34,IF(AD34=1,ROUND(X34*J34,2),0)))</f>
        <v>0</v>
      </c>
      <c r="AF34" s="26">
        <f>IF(T34=0,0,N34+IF(AND(O34&lt;&gt;"",O34&gt;0,OR(P34="",P34&gt;='Rent roll'!$B$4)),O34,0))</f>
        <v>0</v>
      </c>
      <c r="AG34" s="15">
        <f>IF(AND(T34=1,O34&lt;&gt;"",O34&gt;0,P34&lt;&gt;"",P34&lt;'Rent roll'!$B$4),1,0)</f>
        <v>0</v>
      </c>
      <c r="AH34" s="26" t="str">
        <f>IF(T34=1,IF(Q34="",0,Q34),"")</f>
        <v/>
      </c>
      <c r="AI34" s="15">
        <f>IF(X34="",0,1)</f>
        <v>0</v>
      </c>
      <c r="AJ34" s="15">
        <f>IF(AND(T34=1,I34="Y"),1,0)</f>
        <v>0</v>
      </c>
      <c r="AK34" s="23" t="str">
        <f>IF(OR(T34=0,D34=""),"",D34-'Rent roll'!$B$4)</f>
        <v/>
      </c>
      <c r="AL34" s="23" t="str">
        <f>IF(T34=0,"",IF(D34="","No end",YEAR(D34)))</f>
        <v/>
      </c>
      <c r="AM34" s="24">
        <f>IF(OR(AK34="",X34=""),0,AK34*Y34)</f>
        <v>0</v>
      </c>
      <c r="AN34" s="26">
        <f>IF(OR(AK34="",X34=""),0,Y34)</f>
        <v>0</v>
      </c>
      <c r="AO34" s="24">
        <f>IF(AK34="",0,AK34*W34)</f>
        <v>0</v>
      </c>
      <c r="AP34" s="24">
        <f>IF(AK34="",0,W34)</f>
        <v>0</v>
      </c>
      <c r="AQ34" s="15" t="str">
        <f>IF(T34=1,COUNTIF($T$5:T34,1),"")</f>
        <v/>
      </c>
      <c r="AR34" s="36" t="str">
        <f>IF(X34="","",Y34+AQ34/1000000)</f>
        <v/>
      </c>
      <c r="AS34" s="15">
        <f>IF(A34="",0,IF(COUNTIF($A$5:$A$34,A34)&gt;1,1,0))</f>
        <v>0</v>
      </c>
      <c r="AT34" s="15">
        <f>IF(A34="",0,IF(OR(NOT(ISNUMBER(C34)),AND(D34&lt;&gt;"",NOT(ISNUMBER(D34))),AND(E34&lt;&gt;"",NOT(ISNUMBER(E34))),AND(F34&lt;&gt;"",NOT(ISNUMBER(F34))),AND(G34&lt;&gt;"",NOT(ISNUMBER(G34))),AND(H34&lt;&gt;"",NOT(ISNUMBER(H34))),AND(J34&lt;&gt;"",NOT(ISNUMBER(J34))),AND(K34&lt;&gt;"",NOT(ISNUMBER(K34))),AND(L34&lt;&gt;"",NOT(ISNUMBER(L34))),AND(M34&lt;&gt;"",NOT(ISNUMBER(M34))),AND(N34&lt;&gt;"",NOT(ISNUMBER(N34))),AND(O34&lt;&gt;"",NOT(ISNUMBER(O34))),AND(P34&lt;&gt;"",NOT(ISNUMBER(P34))),AND(Q34&lt;&gt;"",NOT(ISNUMBER(Q34))),AND(I34&lt;&gt;"",I34&lt;&gt;"Y",I34&lt;&gt;"N"),AND(D34&lt;&gt;"",D34&lt;C34),AND(E34&lt;&gt;"",E34&lt;C34),AND(K34&lt;&gt;"",L34&lt;&gt;"",L34&lt;K34),AND(J34&lt;&gt;"",OR(J34&lt;0,J34&gt;1)),AND(J34&lt;&gt;"",J34&gt;0,L34=""),AND(G34&lt;&gt;"",H34=""),AND(I34&lt;&gt;"Y",F34="")),1,0))</f>
        <v>0</v>
      </c>
      <c r="AU34" s="15">
        <f>IF(AND(A34&lt;&gt;"",U34=0),1,0)</f>
        <v>0</v>
      </c>
    </row>
  </sheetData>
  <mergeCells count="1">
    <mergeCell ref="S3:AU3"/>
  </mergeCells>
  <dataValidations count="1">
    <dataValidation sqref="I5 I6 I7 I8 I9 I10 I11 I12 I13 I14 I15 I16 I17 I18 I19 I20 I21 I22 I23 I24 I25 I26 I27 I28 I29 I30 I31 I32 I33 I34" showDropDown="0" showInputMessage="0" showErrorMessage="1" allowBlank="1" errorTitle="Y or N" error="Type Y if the rent is waiting for its index, N otherwise." type="list">
      <formula1>"Y,N"</formula1>
    </dataValidation>
  </dataValidations>
  <printOptions horizontalCentered="1"/>
  <pageMargins left="0.75" right="0.75"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K38"/>
  <sheetViews>
    <sheetView showGridLines="1" workbookViewId="0">
      <selection activeCell="A1" sqref="A1"/>
    </sheetView>
  </sheetViews>
  <sheetFormatPr baseColWidth="8" defaultRowHeight="15"/>
  <cols>
    <col width="46" customWidth="1" min="1" max="1"/>
    <col width="14" customWidth="1" min="2" max="2"/>
    <col width="24" customWidth="1" min="3" max="3"/>
    <col width="16" customWidth="1" min="4" max="4"/>
    <col width="15" customWidth="1" min="5" max="5"/>
    <col width="14" customWidth="1" min="6" max="6"/>
    <col width="16" customWidth="1" min="7" max="7"/>
    <col width="16" customWidth="1" min="8" max="8"/>
    <col width="3" customWidth="1" min="9" max="9"/>
    <col width="12" customWidth="1" min="10" max="10"/>
    <col width="9" customWidth="1" min="11" max="11"/>
  </cols>
  <sheetData>
    <row r="1">
      <c r="A1" s="5" t="inlineStr">
        <is>
          <t>Expirations and WALT</t>
        </is>
      </c>
    </row>
    <row r="2">
      <c r="A2" s="6" t="inlineStr">
        <is>
          <t>As of</t>
        </is>
      </c>
      <c r="B2" s="18">
        <f>'Rent roll'!B4</f>
        <v>46249</v>
      </c>
    </row>
    <row r="4" ht="30" customHeight="1">
      <c r="A4" s="14" t="inlineStr">
        <is>
          <t>Expires</t>
        </is>
      </c>
      <c r="B4" s="14" t="inlineStr">
        <is>
          <t>Leases</t>
        </is>
      </c>
      <c r="C4" s="14" t="inlineStr">
        <is>
          <t>Sq ft</t>
        </is>
      </c>
      <c r="D4" s="14" t="inlineStr">
        <is>
          <t>% of units area</t>
        </is>
      </c>
      <c r="E4" s="14" t="inlineStr">
        <is>
          <t>Annual rent</t>
        </is>
      </c>
      <c r="F4" s="14" t="inlineStr">
        <is>
          <t>% of annual rent</t>
        </is>
      </c>
      <c r="G4" s="14" t="inlineStr">
        <is>
          <t>Cumulative % of area</t>
        </is>
      </c>
      <c r="H4" s="14" t="inlineStr">
        <is>
          <t>Cumulative % of rent</t>
        </is>
      </c>
    </row>
    <row r="5">
      <c r="A5" s="6" t="inlineStr">
        <is>
          <t>Vacant</t>
        </is>
      </c>
      <c r="C5" s="17">
        <f>Units!$B$60</f>
        <v>1000</v>
      </c>
      <c r="D5" s="25">
        <f>IF('Rent roll'!$E$95&gt;0,C5/'Rent roll'!$E$95,"")</f>
        <v>0.2</v>
      </c>
    </row>
    <row r="6">
      <c r="A6" s="37">
        <f>YEAR('Rent roll'!$B$4)</f>
        <v>2026</v>
      </c>
      <c r="B6" s="23">
        <f>COUNTIFS(Leases!$AL$5:$AL$34,A6,Leases!$T$5:$T$34,1)</f>
        <v>0</v>
      </c>
      <c r="C6" s="24">
        <f>SUMIFS(Leases!$W$5:$W$34,Leases!$AL$5:$AL$34,A6)</f>
        <v>0</v>
      </c>
      <c r="D6" s="25">
        <f>IF('Rent roll'!$E$95&gt;0,C6/'Rent roll'!$E$95,"")</f>
        <v>0</v>
      </c>
      <c r="E6" s="26">
        <f>SUMIFS(Leases!$Y$5:$Y$34,Leases!$AL$5:$AL$34,A6)</f>
        <v>0</v>
      </c>
      <c r="F6" s="25">
        <f>IF($E$18&gt;0,E6/$E$18,"")</f>
        <v>0</v>
      </c>
      <c r="G6" s="25">
        <f>IF('Rent roll'!$E$95&gt;0,SUM(C$6:C6)/'Rent roll'!$E$95,"")</f>
        <v>0</v>
      </c>
      <c r="H6" s="25">
        <f>IF($E$18&gt;0,SUM(E$6:E6)/$E$18,"")</f>
        <v>0</v>
      </c>
    </row>
    <row r="7">
      <c r="A7" s="37">
        <f>YEAR('Rent roll'!$B$4)+1</f>
        <v>2027</v>
      </c>
      <c r="B7" s="23">
        <f>COUNTIFS(Leases!$AL$5:$AL$34,A7,Leases!$T$5:$T$34,1)</f>
        <v>1</v>
      </c>
      <c r="C7" s="24">
        <f>SUMIFS(Leases!$W$5:$W$34,Leases!$AL$5:$AL$34,A7)</f>
        <v>2000</v>
      </c>
      <c r="D7" s="25">
        <f>IF('Rent roll'!$E$95&gt;0,C7/'Rent roll'!$E$95,"")</f>
        <v>0.4</v>
      </c>
      <c r="E7" s="26">
        <f>SUMIFS(Leases!$Y$5:$Y$34,Leases!$AL$5:$AL$34,A7)</f>
        <v>51000</v>
      </c>
      <c r="F7" s="25">
        <f>IF($E$18&gt;0,E7/$E$18,"")</f>
        <v>0.45945945946</v>
      </c>
      <c r="G7" s="25">
        <f>IF('Rent roll'!$E$95&gt;0,SUM(C$6:C7)/'Rent roll'!$E$95,"")</f>
        <v>0.4</v>
      </c>
      <c r="H7" s="25">
        <f>IF($E$18&gt;0,SUM(E$6:E7)/$E$18,"")</f>
        <v>0.45945945946</v>
      </c>
    </row>
    <row r="8">
      <c r="A8" s="37">
        <f>YEAR('Rent roll'!$B$4)+2</f>
        <v>2028</v>
      </c>
      <c r="B8" s="23">
        <f>COUNTIFS(Leases!$AL$5:$AL$34,A8,Leases!$T$5:$T$34,1)</f>
        <v>1</v>
      </c>
      <c r="C8" s="24">
        <f>SUMIFS(Leases!$W$5:$W$34,Leases!$AL$5:$AL$34,A8)</f>
        <v>2000</v>
      </c>
      <c r="D8" s="25">
        <f>IF('Rent roll'!$E$95&gt;0,C8/'Rent roll'!$E$95,"")</f>
        <v>0.4</v>
      </c>
      <c r="E8" s="26">
        <f>SUMIFS(Leases!$Y$5:$Y$34,Leases!$AL$5:$AL$34,A8)</f>
        <v>60000</v>
      </c>
      <c r="F8" s="25">
        <f>IF($E$18&gt;0,E8/$E$18,"")</f>
        <v>0.54054054054</v>
      </c>
      <c r="G8" s="25">
        <f>IF('Rent roll'!$E$95&gt;0,SUM(C$6:C8)/'Rent roll'!$E$95,"")</f>
        <v>0.8</v>
      </c>
      <c r="H8" s="25">
        <f>IF($E$18&gt;0,SUM(E$6:E8)/$E$18,"")</f>
        <v>1</v>
      </c>
    </row>
    <row r="9">
      <c r="A9" s="37">
        <f>YEAR('Rent roll'!$B$4)+3</f>
        <v>2029</v>
      </c>
      <c r="B9" s="23">
        <f>COUNTIFS(Leases!$AL$5:$AL$34,A9,Leases!$T$5:$T$34,1)</f>
        <v>0</v>
      </c>
      <c r="C9" s="24">
        <f>SUMIFS(Leases!$W$5:$W$34,Leases!$AL$5:$AL$34,A9)</f>
        <v>0</v>
      </c>
      <c r="D9" s="25">
        <f>IF('Rent roll'!$E$95&gt;0,C9/'Rent roll'!$E$95,"")</f>
        <v>0</v>
      </c>
      <c r="E9" s="26">
        <f>SUMIFS(Leases!$Y$5:$Y$34,Leases!$AL$5:$AL$34,A9)</f>
        <v>0</v>
      </c>
      <c r="F9" s="25">
        <f>IF($E$18&gt;0,E9/$E$18,"")</f>
        <v>0</v>
      </c>
      <c r="G9" s="25">
        <f>IF('Rent roll'!$E$95&gt;0,SUM(C$6:C9)/'Rent roll'!$E$95,"")</f>
        <v>0.8</v>
      </c>
      <c r="H9" s="25">
        <f>IF($E$18&gt;0,SUM(E$6:E9)/$E$18,"")</f>
        <v>1</v>
      </c>
    </row>
    <row r="10">
      <c r="A10" s="37">
        <f>YEAR('Rent roll'!$B$4)+4</f>
        <v>2030</v>
      </c>
      <c r="B10" s="23">
        <f>COUNTIFS(Leases!$AL$5:$AL$34,A10,Leases!$T$5:$T$34,1)</f>
        <v>0</v>
      </c>
      <c r="C10" s="24">
        <f>SUMIFS(Leases!$W$5:$W$34,Leases!$AL$5:$AL$34,A10)</f>
        <v>0</v>
      </c>
      <c r="D10" s="25">
        <f>IF('Rent roll'!$E$95&gt;0,C10/'Rent roll'!$E$95,"")</f>
        <v>0</v>
      </c>
      <c r="E10" s="26">
        <f>SUMIFS(Leases!$Y$5:$Y$34,Leases!$AL$5:$AL$34,A10)</f>
        <v>0</v>
      </c>
      <c r="F10" s="25">
        <f>IF($E$18&gt;0,E10/$E$18,"")</f>
        <v>0</v>
      </c>
      <c r="G10" s="25">
        <f>IF('Rent roll'!$E$95&gt;0,SUM(C$6:C10)/'Rent roll'!$E$95,"")</f>
        <v>0.8</v>
      </c>
      <c r="H10" s="25">
        <f>IF($E$18&gt;0,SUM(E$6:E10)/$E$18,"")</f>
        <v>1</v>
      </c>
    </row>
    <row r="11">
      <c r="A11" s="37">
        <f>YEAR('Rent roll'!$B$4)+5</f>
        <v>2031</v>
      </c>
      <c r="B11" s="23">
        <f>COUNTIFS(Leases!$AL$5:$AL$34,A11,Leases!$T$5:$T$34,1)</f>
        <v>0</v>
      </c>
      <c r="C11" s="24">
        <f>SUMIFS(Leases!$W$5:$W$34,Leases!$AL$5:$AL$34,A11)</f>
        <v>0</v>
      </c>
      <c r="D11" s="25">
        <f>IF('Rent roll'!$E$95&gt;0,C11/'Rent roll'!$E$95,"")</f>
        <v>0</v>
      </c>
      <c r="E11" s="26">
        <f>SUMIFS(Leases!$Y$5:$Y$34,Leases!$AL$5:$AL$34,A11)</f>
        <v>0</v>
      </c>
      <c r="F11" s="25">
        <f>IF($E$18&gt;0,E11/$E$18,"")</f>
        <v>0</v>
      </c>
      <c r="G11" s="25">
        <f>IF('Rent roll'!$E$95&gt;0,SUM(C$6:C11)/'Rent roll'!$E$95,"")</f>
        <v>0.8</v>
      </c>
      <c r="H11" s="25">
        <f>IF($E$18&gt;0,SUM(E$6:E11)/$E$18,"")</f>
        <v>1</v>
      </c>
    </row>
    <row r="12">
      <c r="A12" s="37">
        <f>YEAR('Rent roll'!$B$4)+6</f>
        <v>2032</v>
      </c>
      <c r="B12" s="23">
        <f>COUNTIFS(Leases!$AL$5:$AL$34,A12,Leases!$T$5:$T$34,1)</f>
        <v>0</v>
      </c>
      <c r="C12" s="24">
        <f>SUMIFS(Leases!$W$5:$W$34,Leases!$AL$5:$AL$34,A12)</f>
        <v>0</v>
      </c>
      <c r="D12" s="25">
        <f>IF('Rent roll'!$E$95&gt;0,C12/'Rent roll'!$E$95,"")</f>
        <v>0</v>
      </c>
      <c r="E12" s="26">
        <f>SUMIFS(Leases!$Y$5:$Y$34,Leases!$AL$5:$AL$34,A12)</f>
        <v>0</v>
      </c>
      <c r="F12" s="25">
        <f>IF($E$18&gt;0,E12/$E$18,"")</f>
        <v>0</v>
      </c>
      <c r="G12" s="25">
        <f>IF('Rent roll'!$E$95&gt;0,SUM(C$6:C12)/'Rent roll'!$E$95,"")</f>
        <v>0.8</v>
      </c>
      <c r="H12" s="25">
        <f>IF($E$18&gt;0,SUM(E$6:E12)/$E$18,"")</f>
        <v>1</v>
      </c>
    </row>
    <row r="13">
      <c r="A13" s="37">
        <f>YEAR('Rent roll'!$B$4)+7</f>
        <v>2033</v>
      </c>
      <c r="B13" s="23">
        <f>COUNTIFS(Leases!$AL$5:$AL$34,A13,Leases!$T$5:$T$34,1)</f>
        <v>0</v>
      </c>
      <c r="C13" s="24">
        <f>SUMIFS(Leases!$W$5:$W$34,Leases!$AL$5:$AL$34,A13)</f>
        <v>0</v>
      </c>
      <c r="D13" s="25">
        <f>IF('Rent roll'!$E$95&gt;0,C13/'Rent roll'!$E$95,"")</f>
        <v>0</v>
      </c>
      <c r="E13" s="26">
        <f>SUMIFS(Leases!$Y$5:$Y$34,Leases!$AL$5:$AL$34,A13)</f>
        <v>0</v>
      </c>
      <c r="F13" s="25">
        <f>IF($E$18&gt;0,E13/$E$18,"")</f>
        <v>0</v>
      </c>
      <c r="G13" s="25">
        <f>IF('Rent roll'!$E$95&gt;0,SUM(C$6:C13)/'Rent roll'!$E$95,"")</f>
        <v>0.8</v>
      </c>
      <c r="H13" s="25">
        <f>IF($E$18&gt;0,SUM(E$6:E13)/$E$18,"")</f>
        <v>1</v>
      </c>
    </row>
    <row r="14">
      <c r="A14" s="37">
        <f>YEAR('Rent roll'!$B$4)+8</f>
        <v>2034</v>
      </c>
      <c r="B14" s="23">
        <f>COUNTIFS(Leases!$AL$5:$AL$34,A14,Leases!$T$5:$T$34,1)</f>
        <v>0</v>
      </c>
      <c r="C14" s="24">
        <f>SUMIFS(Leases!$W$5:$W$34,Leases!$AL$5:$AL$34,A14)</f>
        <v>0</v>
      </c>
      <c r="D14" s="25">
        <f>IF('Rent roll'!$E$95&gt;0,C14/'Rent roll'!$E$95,"")</f>
        <v>0</v>
      </c>
      <c r="E14" s="26">
        <f>SUMIFS(Leases!$Y$5:$Y$34,Leases!$AL$5:$AL$34,A14)</f>
        <v>0</v>
      </c>
      <c r="F14" s="25">
        <f>IF($E$18&gt;0,E14/$E$18,"")</f>
        <v>0</v>
      </c>
      <c r="G14" s="25">
        <f>IF('Rent roll'!$E$95&gt;0,SUM(C$6:C14)/'Rent roll'!$E$95,"")</f>
        <v>0.8</v>
      </c>
      <c r="H14" s="25">
        <f>IF($E$18&gt;0,SUM(E$6:E14)/$E$18,"")</f>
        <v>1</v>
      </c>
    </row>
    <row r="15">
      <c r="A15" s="37">
        <f>YEAR('Rent roll'!$B$4)+9</f>
        <v>2035</v>
      </c>
      <c r="B15" s="23">
        <f>COUNTIFS(Leases!$AL$5:$AL$34,A15,Leases!$T$5:$T$34,1)</f>
        <v>0</v>
      </c>
      <c r="C15" s="24">
        <f>SUMIFS(Leases!$W$5:$W$34,Leases!$AL$5:$AL$34,A15)</f>
        <v>0</v>
      </c>
      <c r="D15" s="25">
        <f>IF('Rent roll'!$E$95&gt;0,C15/'Rent roll'!$E$95,"")</f>
        <v>0</v>
      </c>
      <c r="E15" s="26">
        <f>SUMIFS(Leases!$Y$5:$Y$34,Leases!$AL$5:$AL$34,A15)</f>
        <v>0</v>
      </c>
      <c r="F15" s="25">
        <f>IF($E$18&gt;0,E15/$E$18,"")</f>
        <v>0</v>
      </c>
      <c r="G15" s="25">
        <f>IF('Rent roll'!$E$95&gt;0,SUM(C$6:C15)/'Rent roll'!$E$95,"")</f>
        <v>0.8</v>
      </c>
      <c r="H15" s="25">
        <f>IF($E$18&gt;0,SUM(E$6:E15)/$E$18,"")</f>
        <v>1</v>
      </c>
    </row>
    <row r="16">
      <c r="A16" s="6" t="inlineStr">
        <is>
          <t>Later</t>
        </is>
      </c>
      <c r="B16" s="23">
        <f>COUNTIFS(Leases!$AL$5:$AL$34,"&gt;"&amp;A15,Leases!$T$5:$T$34,1)</f>
        <v>0</v>
      </c>
      <c r="C16" s="24">
        <f>SUMIFS(Leases!$W$5:$W$34,Leases!$AL$5:$AL$34,"&gt;"&amp;A15)</f>
        <v>0</v>
      </c>
      <c r="D16" s="25">
        <f>IF('Rent roll'!$E$95&gt;0,C16/'Rent roll'!$E$95,"")</f>
        <v>0</v>
      </c>
      <c r="E16" s="26">
        <f>SUMIFS(Leases!$Y$5:$Y$34,Leases!$AL$5:$AL$34,"&gt;"&amp;A15)</f>
        <v>0</v>
      </c>
      <c r="F16" s="25">
        <f>IF($E$18&gt;0,E16/$E$18,"")</f>
        <v>0</v>
      </c>
      <c r="G16" s="25">
        <f>IF('Rent roll'!$E$95&gt;0,SUM(C$6:C16)/'Rent roll'!$E$95,"")</f>
        <v>0.8</v>
      </c>
      <c r="H16" s="25">
        <f>IF($E$18&gt;0,SUM(E$6:E16)/$E$18,"")</f>
        <v>1</v>
      </c>
    </row>
    <row r="17">
      <c r="A17" s="6" t="inlineStr">
        <is>
          <t>No end date</t>
        </is>
      </c>
      <c r="B17" s="23">
        <f>COUNTIFS(Leases!$AL$5:$AL$34,"No end",Leases!$T$5:$T$34,1)</f>
        <v>0</v>
      </c>
      <c r="C17" s="24">
        <f>SUMIFS(Leases!$W$5:$W$34,Leases!$AL$5:$AL$34,"No end")</f>
        <v>0</v>
      </c>
      <c r="D17" s="25">
        <f>IF('Rent roll'!$E$95&gt;0,C17/'Rent roll'!$E$95,"")</f>
        <v>0</v>
      </c>
      <c r="E17" s="26">
        <f>SUMIFS(Leases!$Y$5:$Y$34,Leases!$AL$5:$AL$34,"No end")</f>
        <v>0</v>
      </c>
      <c r="F17" s="25">
        <f>IF($E$18&gt;0,E17/$E$18,"")</f>
        <v>0</v>
      </c>
    </row>
    <row r="18">
      <c r="A18" s="6" t="inlineStr">
        <is>
          <t>Total in force</t>
        </is>
      </c>
      <c r="B18" s="32">
        <f>SUM(Leases!$T$5:$T$34)</f>
        <v>2</v>
      </c>
      <c r="C18" s="33">
        <f>SUMIFS(Leases!$W$5:$W$34,Leases!$T$5:$T$34,1)</f>
        <v>4000</v>
      </c>
      <c r="D18" s="38">
        <f>IF('Rent roll'!$E$95&gt;0,C18/'Rent roll'!$E$95,"")</f>
        <v>0.8</v>
      </c>
      <c r="E18" s="39">
        <f>SUM(Leases!$Y$5:$Y$34)</f>
        <v>111000</v>
      </c>
      <c r="F18" s="38">
        <f>IF(E18&gt;0,SUM(E6:E17)/E18,"")</f>
        <v>1</v>
      </c>
    </row>
    <row r="19">
      <c r="A19" s="8" t="inlineStr">
        <is>
          <t>A lease awaiting its index counts in area, not in rent. Annual rent is the contract rent on the date, before abatement.</t>
        </is>
      </c>
    </row>
    <row r="21">
      <c r="A21" s="6" t="inlineStr">
        <is>
          <t>WALT, the weighted average lease term remaining</t>
        </is>
      </c>
    </row>
    <row r="22">
      <c r="A22" s="40" t="inlineStr">
        <is>
          <t>Leases in the WALT</t>
        </is>
      </c>
      <c r="B22" s="23">
        <f>COUNTIF(Leases!AP5:AP34,"&gt;0")</f>
        <v>2</v>
      </c>
    </row>
    <row r="23">
      <c r="A23" s="40" t="inlineStr">
        <is>
          <t>Leases without an end date, left out</t>
        </is>
      </c>
      <c r="B23" s="23">
        <f>COUNTIF(Leases!AL5:AL34,"No end")</f>
        <v>0</v>
      </c>
    </row>
    <row r="24">
      <c r="A24" s="40" t="inlineStr">
        <is>
          <t>Awaiting an index, left out of the rent weighting</t>
        </is>
      </c>
      <c r="B24" s="23">
        <f>COUNTIFS(Leases!AJ5:AJ34,1,Leases!AK5:AK34,"&gt;=0")</f>
        <v>0</v>
      </c>
    </row>
    <row r="25">
      <c r="A25" s="40" t="inlineStr">
        <is>
          <t>Σ days remaining × annual rent</t>
        </is>
      </c>
      <c r="B25" s="24">
        <f>SUM(Leases!AM5:AM34)</f>
        <v>68409000</v>
      </c>
    </row>
    <row r="26">
      <c r="A26" s="40" t="inlineStr">
        <is>
          <t>Σ annual rent × 365</t>
        </is>
      </c>
      <c r="B26" s="24">
        <f>SUM(Leases!AN5:AN34)*365</f>
        <v>40515000</v>
      </c>
    </row>
    <row r="27">
      <c r="A27" s="6" t="inlineStr">
        <is>
          <t>WALT by rent (years)</t>
        </is>
      </c>
      <c r="B27" s="41">
        <f>IF(B26&gt;0,ROUND(B25/B26,2),"")</f>
        <v>1.69</v>
      </c>
    </row>
    <row r="28">
      <c r="A28" s="40" t="inlineStr">
        <is>
          <t>Σ days remaining × area</t>
        </is>
      </c>
      <c r="B28" s="24">
        <f>SUM(Leases!AO5:AO34)</f>
        <v>2376000</v>
      </c>
    </row>
    <row r="29">
      <c r="A29" s="40" t="inlineStr">
        <is>
          <t>Σ area × 365</t>
        </is>
      </c>
      <c r="B29" s="24">
        <f>SUM(Leases!AP5:AP34)*365</f>
        <v>1460000</v>
      </c>
    </row>
    <row r="30">
      <c r="A30" s="6" t="inlineStr">
        <is>
          <t>WALT by area (years)</t>
        </is>
      </c>
      <c r="B30" s="41">
        <f>IF(B29&gt;0,ROUND(B28/B29,2),"")</f>
        <v>1.63</v>
      </c>
    </row>
    <row r="31">
      <c r="A31" s="8" t="inlineStr">
        <is>
          <t>Days remaining = lease end − as-of date. In years; some readers state WALT in months.</t>
        </is>
      </c>
    </row>
    <row r="33">
      <c r="A33" s="14" t="inlineStr">
        <is>
          <t>Largest leases (by annual rent)</t>
        </is>
      </c>
      <c r="B33" s="14" t="inlineStr">
        <is>
          <t>Lease</t>
        </is>
      </c>
      <c r="C33" s="14" t="inlineStr">
        <is>
          <t>Tenant</t>
        </is>
      </c>
      <c r="D33" s="14" t="inlineStr">
        <is>
          <t>Annual rent</t>
        </is>
      </c>
      <c r="E33" s="14" t="inlineStr">
        <is>
          <t>% of annual rent</t>
        </is>
      </c>
      <c r="J33" s="14" t="inlineStr">
        <is>
          <t>helper: rank key</t>
        </is>
      </c>
      <c r="K33" s="14" t="inlineStr">
        <is>
          <t>helper: row</t>
        </is>
      </c>
    </row>
    <row r="34">
      <c r="A34" s="37" t="n">
        <v>1</v>
      </c>
      <c r="B34" s="16" t="str">
        <f>IF(K34="","",""&amp;INDEX(Leases!$A$5:$A$34,K34))</f>
        <v>A</v>
      </c>
      <c r="C34" s="16" t="str">
        <f>IF(K34="","",""&amp;INDEX(Leases!$B$5:$B$34,K34))</f>
        <v>Tenant A, LLC</v>
      </c>
      <c r="D34" s="19">
        <f>IF(K34="","",INDEX(Leases!$Y$5:$Y$34,K34))</f>
        <v>60000</v>
      </c>
      <c r="E34" s="25">
        <f>IF(OR(K34="",$E$18&lt;=0),"",D34/$E$18)</f>
        <v>0.54054054054</v>
      </c>
      <c r="J34" s="36">
        <f>IFERROR(LARGE(Leases!$AR$5:$AR$34,A34),"")</f>
        <v>60000.000001</v>
      </c>
      <c r="K34" s="23">
        <f>IF(J34="","",MATCH(J34,Leases!$AR$5:$AR$34,0))</f>
        <v>1</v>
      </c>
    </row>
    <row r="35">
      <c r="A35" s="37" t="n">
        <v>2</v>
      </c>
      <c r="B35" s="16" t="str">
        <f>IF(K35="","",""&amp;INDEX(Leases!$A$5:$A$34,K35))</f>
        <v>B</v>
      </c>
      <c r="C35" s="16" t="str">
        <f>IF(K35="","",""&amp;INDEX(Leases!$B$5:$B$34,K35))</f>
        <v>Tenant B, LLC</v>
      </c>
      <c r="D35" s="19">
        <f>IF(K35="","",INDEX(Leases!$Y$5:$Y$34,K35))</f>
        <v>51000</v>
      </c>
      <c r="E35" s="25">
        <f>IF(OR(K35="",$E$18&lt;=0),"",D35/$E$18)</f>
        <v>0.45945945946</v>
      </c>
      <c r="J35" s="36">
        <f>IFERROR(LARGE(Leases!$AR$5:$AR$34,A35),"")</f>
        <v>51000.000002</v>
      </c>
      <c r="K35" s="23">
        <f>IF(J35="","",MATCH(J35,Leases!$AR$5:$AR$34,0))</f>
        <v>2</v>
      </c>
    </row>
    <row r="36">
      <c r="A36" s="37" t="n">
        <v>3</v>
      </c>
      <c r="B36" s="16" t="str">
        <f>IF(K36="","",""&amp;INDEX(Leases!$A$5:$A$34,K36))</f>
        <v/>
      </c>
      <c r="C36" s="16" t="str">
        <f>IF(K36="","",""&amp;INDEX(Leases!$B$5:$B$34,K36))</f>
        <v/>
      </c>
      <c r="D36" s="19" t="str">
        <f>IF(K36="","",INDEX(Leases!$Y$5:$Y$34,K36))</f>
        <v/>
      </c>
      <c r="E36" s="25" t="str">
        <f>IF(OR(K36="",$E$18&lt;=0),"",D36/$E$18)</f>
        <v/>
      </c>
      <c r="J36" s="36" t="str">
        <f>IFERROR(LARGE(Leases!$AR$5:$AR$34,A36),"")</f>
        <v/>
      </c>
      <c r="K36" s="23" t="str">
        <f>IF(J36="","",MATCH(J36,Leases!$AR$5:$AR$34,0))</f>
        <v/>
      </c>
    </row>
    <row r="37">
      <c r="A37" s="37" t="n">
        <v>4</v>
      </c>
      <c r="B37" s="16" t="str">
        <f>IF(K37="","",""&amp;INDEX(Leases!$A$5:$A$34,K37))</f>
        <v/>
      </c>
      <c r="C37" s="16" t="str">
        <f>IF(K37="","",""&amp;INDEX(Leases!$B$5:$B$34,K37))</f>
        <v/>
      </c>
      <c r="D37" s="19" t="str">
        <f>IF(K37="","",INDEX(Leases!$Y$5:$Y$34,K37))</f>
        <v/>
      </c>
      <c r="E37" s="25" t="str">
        <f>IF(OR(K37="",$E$18&lt;=0),"",D37/$E$18)</f>
        <v/>
      </c>
      <c r="J37" s="36" t="str">
        <f>IFERROR(LARGE(Leases!$AR$5:$AR$34,A37),"")</f>
        <v/>
      </c>
      <c r="K37" s="23" t="str">
        <f>IF(J37="","",MATCH(J37,Leases!$AR$5:$AR$34,0))</f>
        <v/>
      </c>
    </row>
    <row r="38">
      <c r="A38" s="37" t="n">
        <v>5</v>
      </c>
      <c r="B38" s="16" t="str">
        <f>IF(K38="","",""&amp;INDEX(Leases!$A$5:$A$34,K38))</f>
        <v/>
      </c>
      <c r="C38" s="16" t="str">
        <f>IF(K38="","",""&amp;INDEX(Leases!$B$5:$B$34,K38))</f>
        <v/>
      </c>
      <c r="D38" s="19" t="str">
        <f>IF(K38="","",INDEX(Leases!$Y$5:$Y$34,K38))</f>
        <v/>
      </c>
      <c r="E38" s="25" t="str">
        <f>IF(OR(K38="",$E$18&lt;=0),"",D38/$E$18)</f>
        <v/>
      </c>
      <c r="J38" s="36" t="str">
        <f>IFERROR(LARGE(Leases!$AR$5:$AR$34,A38),"")</f>
        <v/>
      </c>
      <c r="K38" s="23" t="str">
        <f>IF(J38="","",MATCH(J38,Leases!$AR$5:$AR$34,0))</f>
        <v/>
      </c>
    </row>
  </sheetData>
  <pageMargins left="0.75" right="0.75" top="1" bottom="1" header="0.5" footer="0.5"/>
  <pageSetup orientation="portrait"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ChargeRecoveries</dc:creator>
  <dc:title>Commercial rent roll template</dc:title>
  <dc:subject>A commercial rent roll as of one date, with occupancy, free rent, expirations, WALT and eleven checks</dc:subject>
  <dcterms:created xsi:type="dcterms:W3CDTF">2026-10-30T03:19:09Z</dcterms:created>
  <dcterms:modified xsi:type="dcterms:W3CDTF">2026-10-30T03:19:09Z</dcterms:modified>
</cp:coreProperties>
</file>